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sowa\Desktop\LII\uchwały\"/>
    </mc:Choice>
  </mc:AlternateContent>
  <bookViews>
    <workbookView xWindow="0" yWindow="0" windowWidth="28800" windowHeight="12300" activeTab="2"/>
  </bookViews>
  <sheets>
    <sheet name="Załącznik Nr 1 " sheetId="6" r:id="rId1"/>
    <sheet name="Załącznik Nr 2" sheetId="7" r:id="rId2"/>
    <sheet name="Zał nr 3" sheetId="9" r:id="rId3"/>
    <sheet name="Załącznik Nr 3" sheetId="8" state="hidden" r:id="rId4"/>
  </sheets>
  <definedNames>
    <definedName name="Obszar_1093uku" localSheetId="2">#REF!</definedName>
    <definedName name="Obszar_1093uku">#REF!</definedName>
    <definedName name="_xlnm.Print_Area" localSheetId="2">'Zał nr 3'!$A$1:$D$26</definedName>
    <definedName name="_xlnm.Print_Area" localSheetId="0">'Załącznik Nr 1 '!$A$1:$F$21</definedName>
    <definedName name="_xlnm.Print_Area" localSheetId="1">'Załącznik Nr 2'!$A$1:$F$119</definedName>
    <definedName name="_xlnm.Print_Area" localSheetId="3">'Załącznik Nr 3'!$A$1:$D$24</definedName>
    <definedName name="_xlnm.Print_Titles" localSheetId="0">'Załącznik Nr 1 '!$5:$7</definedName>
    <definedName name="_xlnm.Print_Titles" localSheetId="1">'Załącznik Nr 2'!$5:$7</definedName>
  </definedNames>
  <calcPr calcId="152511"/>
</workbook>
</file>

<file path=xl/calcChain.xml><?xml version="1.0" encoding="utf-8"?>
<calcChain xmlns="http://schemas.openxmlformats.org/spreadsheetml/2006/main">
  <c r="G22" i="7" l="1"/>
  <c r="D14" i="7" l="1"/>
  <c r="D119" i="7" l="1"/>
  <c r="D116" i="7"/>
  <c r="G114" i="7" l="1"/>
  <c r="G81" i="7"/>
  <c r="H81" i="7"/>
  <c r="G78" i="7"/>
  <c r="G74" i="7" l="1"/>
  <c r="G61" i="7"/>
  <c r="H69" i="7"/>
  <c r="H34" i="7"/>
  <c r="G35" i="7"/>
  <c r="H35" i="7"/>
  <c r="G21" i="7"/>
  <c r="F118" i="7"/>
  <c r="F116" i="7"/>
  <c r="D118" i="7"/>
  <c r="G12" i="7"/>
  <c r="G11" i="7"/>
  <c r="G115" i="7" l="1"/>
  <c r="G99" i="7"/>
  <c r="F119" i="7" l="1"/>
  <c r="F102" i="7" l="1"/>
  <c r="D18" i="7"/>
  <c r="D17" i="7"/>
  <c r="D16" i="7"/>
  <c r="D15" i="7"/>
  <c r="F21" i="6"/>
  <c r="F20" i="6"/>
  <c r="D21" i="6"/>
  <c r="D20" i="6"/>
  <c r="F18" i="6"/>
  <c r="D18" i="6"/>
  <c r="D25" i="9"/>
  <c r="C25" i="9"/>
  <c r="D23" i="9"/>
  <c r="C23" i="9"/>
  <c r="D19" i="9"/>
  <c r="C19" i="9"/>
  <c r="D13" i="9"/>
  <c r="C13" i="9"/>
  <c r="D12" i="9"/>
  <c r="C12" i="9"/>
  <c r="Q533" i="9" l="1"/>
  <c r="D24" i="9"/>
  <c r="C24" i="9"/>
  <c r="C21" i="9" s="1"/>
  <c r="D22" i="9"/>
  <c r="C22" i="9"/>
  <c r="D20" i="9"/>
  <c r="C20" i="9"/>
  <c r="D18" i="9"/>
  <c r="D16" i="9" s="1"/>
  <c r="C18" i="9"/>
  <c r="C16" i="9" s="1"/>
  <c r="D15" i="9"/>
  <c r="C15" i="9"/>
  <c r="D14" i="9"/>
  <c r="C14" i="9"/>
  <c r="D11" i="9"/>
  <c r="C11" i="9"/>
  <c r="D10" i="9"/>
  <c r="C10" i="9"/>
  <c r="D9" i="9"/>
  <c r="C9" i="9"/>
  <c r="D8" i="9"/>
  <c r="C8" i="9"/>
  <c r="D6" i="9"/>
  <c r="C6" i="9"/>
  <c r="D5" i="9"/>
  <c r="C5" i="9"/>
  <c r="D21" i="9" l="1"/>
  <c r="D4" i="9"/>
  <c r="D26" i="9" s="1"/>
  <c r="C4" i="9"/>
  <c r="C26" i="9" s="1"/>
  <c r="F108" i="7" l="1"/>
  <c r="F110" i="7"/>
  <c r="D109" i="7"/>
  <c r="F104" i="7"/>
  <c r="F73" i="7"/>
  <c r="F71" i="7"/>
  <c r="D71" i="7"/>
  <c r="G68" i="7"/>
  <c r="F61" i="7"/>
  <c r="F60" i="7"/>
  <c r="F59" i="7"/>
  <c r="F58" i="7"/>
  <c r="F57" i="7"/>
  <c r="F56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D34" i="7"/>
  <c r="D33" i="7"/>
  <c r="D32" i="7"/>
  <c r="G34" i="7" l="1"/>
  <c r="F17" i="7"/>
  <c r="F15" i="7"/>
  <c r="D27" i="7"/>
  <c r="F24" i="7"/>
  <c r="F22" i="7"/>
  <c r="F20" i="7"/>
  <c r="F18" i="7"/>
  <c r="F21" i="7"/>
  <c r="F77" i="7"/>
  <c r="G80" i="7"/>
  <c r="G112" i="7"/>
  <c r="G18" i="6" l="1"/>
  <c r="H22" i="7"/>
  <c r="G13" i="6"/>
  <c r="D8" i="6"/>
  <c r="D12" i="6"/>
  <c r="D9" i="6"/>
  <c r="F16" i="6"/>
  <c r="F15" i="6"/>
  <c r="G116" i="7" l="1"/>
  <c r="G11" i="6"/>
  <c r="H93" i="7"/>
  <c r="G66" i="7" l="1"/>
  <c r="G69" i="7" l="1"/>
  <c r="G94" i="7" l="1"/>
  <c r="G82" i="7"/>
  <c r="H15" i="7" l="1"/>
  <c r="G71" i="7"/>
  <c r="H75" i="7" l="1"/>
  <c r="G97" i="7" l="1"/>
  <c r="G75" i="7" l="1"/>
  <c r="E120" i="7" l="1"/>
  <c r="E121" i="7" s="1"/>
  <c r="D120" i="7"/>
  <c r="E22" i="6"/>
  <c r="E23" i="6" s="1"/>
  <c r="D22" i="6" l="1"/>
  <c r="D23" i="6" s="1"/>
  <c r="D121" i="7"/>
  <c r="F22" i="6"/>
  <c r="F23" i="6" s="1"/>
  <c r="C23" i="8"/>
  <c r="D23" i="8" l="1"/>
  <c r="D20" i="8"/>
  <c r="C20" i="8"/>
  <c r="D19" i="8"/>
  <c r="C19" i="8"/>
  <c r="D14" i="8"/>
  <c r="C14" i="8"/>
  <c r="D12" i="8"/>
  <c r="C12" i="8"/>
  <c r="D9" i="8"/>
  <c r="C9" i="8"/>
  <c r="D22" i="8" l="1"/>
  <c r="C22" i="8"/>
  <c r="D21" i="8"/>
  <c r="D17" i="8" s="1"/>
  <c r="C21" i="8"/>
  <c r="C17" i="8" s="1"/>
  <c r="D15" i="8"/>
  <c r="C15" i="8"/>
  <c r="D13" i="8"/>
  <c r="C13" i="8"/>
  <c r="D11" i="8"/>
  <c r="C11" i="8"/>
  <c r="D10" i="8"/>
  <c r="C10" i="8"/>
  <c r="D8" i="8"/>
  <c r="C8" i="8"/>
  <c r="D5" i="8"/>
  <c r="D4" i="8" s="1"/>
  <c r="C5" i="8"/>
  <c r="C4" i="8" s="1"/>
  <c r="C7" i="8" l="1"/>
  <c r="C24" i="8" s="1"/>
  <c r="D7" i="8"/>
  <c r="D24" i="8" s="1"/>
  <c r="F120" i="7" l="1"/>
  <c r="F121" i="7" s="1"/>
</calcChain>
</file>

<file path=xl/sharedStrings.xml><?xml version="1.0" encoding="utf-8"?>
<sst xmlns="http://schemas.openxmlformats.org/spreadsheetml/2006/main" count="286" uniqueCount="173">
  <si>
    <t>Dział</t>
  </si>
  <si>
    <t>Rozdział</t>
  </si>
  <si>
    <t>w tym:</t>
  </si>
  <si>
    <t>Razem</t>
  </si>
  <si>
    <t>kwota</t>
  </si>
  <si>
    <t>§</t>
  </si>
  <si>
    <t>zwiększenia</t>
  </si>
  <si>
    <t>zmniejszenia</t>
  </si>
  <si>
    <t>PLAN DOCHODÓW</t>
  </si>
  <si>
    <t>PLAN WYDATKÓW</t>
  </si>
  <si>
    <t>Zmiana planu wydatków w szczegółowości dział, rozdział, paragraf</t>
  </si>
  <si>
    <t>wydatki bieżące</t>
  </si>
  <si>
    <t>wydatki majątkowe</t>
  </si>
  <si>
    <t>Zmiana planu dochodów w szczegółowości dział, rozdział, paragraf</t>
  </si>
  <si>
    <t>dochody bieżące</t>
  </si>
  <si>
    <t>dochody majątkowe</t>
  </si>
  <si>
    <t>Załącznik Nr 3
do  Uchwały ……...
Sejmiku Województwa Podkarpackiego 
 w Rzeszowie  z dnia …………….</t>
  </si>
  <si>
    <t xml:space="preserve">PLAN DOCHODÓW GROMADZONYCH NA WYODRĘBNIONYM RACHUNKU PRZEZ WOJEWÓDZKIE OŚWIATOWE JEDNOSTKI BUDŻETOWE, 
ORAZ WYDATKÓW NIMI FINANSOWANYCH </t>
  </si>
  <si>
    <t>Lp.</t>
  </si>
  <si>
    <t>Nazwa  jednostki</t>
  </si>
  <si>
    <t>Dochody</t>
  </si>
  <si>
    <t>Wydatki</t>
  </si>
  <si>
    <t>Rozdział 80102</t>
  </si>
  <si>
    <t xml:space="preserve">Zespół Szkół  przy Klinicznym Szpitalu Wojewódzkim Nr 2 w  Rzeszowie                 </t>
  </si>
  <si>
    <t>Zespół  Szkół  Specjalnych  w  Rymanowie  Zdroju</t>
  </si>
  <si>
    <t>Rozdział 80130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</si>
  <si>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</si>
  <si>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</si>
  <si>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</si>
  <si>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Łańcucie                        </t>
  </si>
  <si>
    <t xml:space="preserve">Medyczno-Społeczne Centrum Kształcenia Zawodowego 
i Ustawicznego w Mielcu                         </t>
  </si>
  <si>
    <t>Medyczno-Społeczne Centrum Kształcenia Zawodowego 
i Ustawicznego w Stalowej  Woli</t>
  </si>
  <si>
    <t>Medyczno-Społeczne Centrum Kształcenia Zawodowego 
i Ustawicznego w Rzeszowie</t>
  </si>
  <si>
    <t>Rozdział 80146</t>
  </si>
  <si>
    <t>Podkarpacke Centrum Edukacji  Nauczycieli w Rzeszowie</t>
  </si>
  <si>
    <t>Rozdział 80147</t>
  </si>
  <si>
    <t>Pedagogiczna  Biblioteka  Wojewódzka  w Rzeszowie</t>
  </si>
  <si>
    <t>Pedagogiczna  Biblioteka  Wojewódzka  w  Krośnie</t>
  </si>
  <si>
    <t>Pedagogiczna  Biblioteka  Wojewódzka  w  Przemyślu</t>
  </si>
  <si>
    <t xml:space="preserve">Biblioteka  Pedagogiczna  w  Tarnobrzegu  </t>
  </si>
  <si>
    <t>Rozdział 85410</t>
  </si>
  <si>
    <t>Medyczno-Społeczne Centrum Kształcenia Zawodowego 
i Ustawicznego  w  Rzeszowie</t>
  </si>
  <si>
    <t xml:space="preserve">       OGÓŁEM </t>
  </si>
  <si>
    <t>600</t>
  </si>
  <si>
    <t>60013</t>
  </si>
  <si>
    <t>851</t>
  </si>
  <si>
    <t>85111</t>
  </si>
  <si>
    <t>750</t>
  </si>
  <si>
    <t>75095</t>
  </si>
  <si>
    <t>853</t>
  </si>
  <si>
    <t>852</t>
  </si>
  <si>
    <t>4300</t>
  </si>
  <si>
    <t>6050</t>
  </si>
  <si>
    <t>6257</t>
  </si>
  <si>
    <t>6300</t>
  </si>
  <si>
    <t>6057</t>
  </si>
  <si>
    <t>6059</t>
  </si>
  <si>
    <t>010</t>
  </si>
  <si>
    <t>75018</t>
  </si>
  <si>
    <t>6060</t>
  </si>
  <si>
    <t>4210</t>
  </si>
  <si>
    <t>758</t>
  </si>
  <si>
    <t>2059</t>
  </si>
  <si>
    <t>2009</t>
  </si>
  <si>
    <t>6610</t>
  </si>
  <si>
    <t>150</t>
  </si>
  <si>
    <t>15011</t>
  </si>
  <si>
    <t>4270</t>
  </si>
  <si>
    <t>630</t>
  </si>
  <si>
    <t>63095</t>
  </si>
  <si>
    <t>75863</t>
  </si>
  <si>
    <t>2057</t>
  </si>
  <si>
    <t>2360</t>
  </si>
  <si>
    <t>4480</t>
  </si>
  <si>
    <t>85395</t>
  </si>
  <si>
    <t>921</t>
  </si>
  <si>
    <t>92195</t>
  </si>
  <si>
    <t>6350</t>
  </si>
  <si>
    <t>926</t>
  </si>
  <si>
    <t>92605</t>
  </si>
  <si>
    <t>2820</t>
  </si>
  <si>
    <t>75802</t>
  </si>
  <si>
    <t>6180</t>
  </si>
  <si>
    <t>75864</t>
  </si>
  <si>
    <t>6209</t>
  </si>
  <si>
    <t>801</t>
  </si>
  <si>
    <t>80146</t>
  </si>
  <si>
    <t>80195</t>
  </si>
  <si>
    <t>2700</t>
  </si>
  <si>
    <t>85217</t>
  </si>
  <si>
    <t>6259</t>
  </si>
  <si>
    <t>700</t>
  </si>
  <si>
    <t>70005</t>
  </si>
  <si>
    <t>85295</t>
  </si>
  <si>
    <t>01004</t>
  </si>
  <si>
    <t>4260</t>
  </si>
  <si>
    <t>01095</t>
  </si>
  <si>
    <t>6067</t>
  </si>
  <si>
    <t>6069</t>
  </si>
  <si>
    <t>730</t>
  </si>
  <si>
    <t>73095</t>
  </si>
  <si>
    <t>4390</t>
  </si>
  <si>
    <t>75075</t>
  </si>
  <si>
    <t>4430</t>
  </si>
  <si>
    <t>4170</t>
  </si>
  <si>
    <t>4017</t>
  </si>
  <si>
    <t>4019</t>
  </si>
  <si>
    <t>4117</t>
  </si>
  <si>
    <t>4119</t>
  </si>
  <si>
    <t>4127</t>
  </si>
  <si>
    <t>4129</t>
  </si>
  <si>
    <t>4177</t>
  </si>
  <si>
    <t>4179</t>
  </si>
  <si>
    <t>4217</t>
  </si>
  <si>
    <t>4219</t>
  </si>
  <si>
    <t>4227</t>
  </si>
  <si>
    <t>4229</t>
  </si>
  <si>
    <t>4247</t>
  </si>
  <si>
    <t>4249</t>
  </si>
  <si>
    <t>4267</t>
  </si>
  <si>
    <t>4269</t>
  </si>
  <si>
    <t>4367</t>
  </si>
  <si>
    <t>4369</t>
  </si>
  <si>
    <t>4417</t>
  </si>
  <si>
    <t>4419</t>
  </si>
  <si>
    <t>4717</t>
  </si>
  <si>
    <t>4719</t>
  </si>
  <si>
    <t>4797</t>
  </si>
  <si>
    <t>4799</t>
  </si>
  <si>
    <t>4307</t>
  </si>
  <si>
    <t>4309</t>
  </si>
  <si>
    <t>4010</t>
  </si>
  <si>
    <t>4110</t>
  </si>
  <si>
    <t>4120</t>
  </si>
  <si>
    <t>4220</t>
  </si>
  <si>
    <t>4710</t>
  </si>
  <si>
    <t>6220</t>
  </si>
  <si>
    <t>85121</t>
  </si>
  <si>
    <t>2560</t>
  </si>
  <si>
    <t>85148</t>
  </si>
  <si>
    <t>85332</t>
  </si>
  <si>
    <t>854</t>
  </si>
  <si>
    <t>85416</t>
  </si>
  <si>
    <t>3247</t>
  </si>
  <si>
    <t>3249</t>
  </si>
  <si>
    <t>900</t>
  </si>
  <si>
    <t>90005</t>
  </si>
  <si>
    <t>925</t>
  </si>
  <si>
    <t>92595</t>
  </si>
  <si>
    <t>92106</t>
  </si>
  <si>
    <t>92108</t>
  </si>
  <si>
    <t>2480</t>
  </si>
  <si>
    <t>2800</t>
  </si>
  <si>
    <t>92109</t>
  </si>
  <si>
    <t>92116</t>
  </si>
  <si>
    <t>92118</t>
  </si>
  <si>
    <t>DZIAŁ 801</t>
  </si>
  <si>
    <t xml:space="preserve">Zespół Szkół przy Klinicznym Szpitalu Wojewódzkim Nr 2 w Rzeszowie                 </t>
  </si>
  <si>
    <t>Zespół Szkół Specjalnych w Rymanowie Zdroju</t>
  </si>
  <si>
    <t>Podkarpacki Zespół Placówek Wojewódzkich w Rzeszowie</t>
  </si>
  <si>
    <t>Pedagogiczna Biblioteka Wojewódzka w Krośnie</t>
  </si>
  <si>
    <t>Pedagogiczna Biblioteka Wojewódzka w Przemyślu</t>
  </si>
  <si>
    <t xml:space="preserve">Biblioteka Pedagogiczna w Tarnobrzegu  </t>
  </si>
  <si>
    <t>DZIAŁ 854</t>
  </si>
  <si>
    <t>Rozdział 85417</t>
  </si>
  <si>
    <t>0</t>
  </si>
  <si>
    <t>92120</t>
  </si>
  <si>
    <t>2730</t>
  </si>
  <si>
    <t>2720</t>
  </si>
  <si>
    <t>6490</t>
  </si>
  <si>
    <t xml:space="preserve">Załącznik Nr 1 do Uchwały LII/892/22 
Sejmiku Województwa Podkarpackiego 
z dnia  29 sierpnia 2022 r. </t>
  </si>
  <si>
    <t>Załącznik Nr 2 do Uchwały NR LII/892/22 
Sejmiku Województwa Podkarpackiego 
z dnia 29 sierpnia  2022 r.</t>
  </si>
  <si>
    <t>Załącznik Nr 3
do Uchwały NR LII/892/22
Sejmiku Województwa Podkarpackiego 
  z dnia   29 sierpnia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</si>
</sst>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0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b/>
      <sz val="11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2"/>
      <color theme="1"/>
      <name val="Czcionka tekstu podstawowego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12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>
      <alignment vertical="top"/>
    </xf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7" fillId="0" borderId="0"/>
    <xf numFmtId="0" fontId="2" fillId="0" borderId="0"/>
    <xf numFmtId="0" fontId="3" fillId="0" borderId="0"/>
  </cellStyleXfs>
  <cellXfs count="179">
    <xf numFmtId="0" fontId="0" fillId="0" borderId="0" xfId="0"/>
    <xf numFmtId="3" fontId="0" fillId="0" borderId="0" xfId="0" applyNumberFormat="1"/>
    <xf numFmtId="0" fontId="0" fillId="0" borderId="0" xfId="0" applyBorder="1"/>
    <xf numFmtId="3" fontId="0" fillId="0" borderId="0" xfId="0" applyNumberFormat="1" applyBorder="1"/>
    <xf numFmtId="0" fontId="7" fillId="0" borderId="0" xfId="0" applyFont="1" applyBorder="1"/>
    <xf numFmtId="0" fontId="8" fillId="0" borderId="0" xfId="0" applyFont="1" applyBorder="1" applyAlignment="1">
      <alignment vertical="center" wrapText="1"/>
    </xf>
    <xf numFmtId="3" fontId="9" fillId="0" borderId="0" xfId="0" applyNumberFormat="1" applyFont="1" applyBorder="1" applyAlignment="1">
      <alignment horizontal="right" vertical="top" wrapText="1"/>
    </xf>
    <xf numFmtId="0" fontId="14" fillId="0" borderId="0" xfId="0" applyFont="1" applyBorder="1" applyAlignment="1">
      <alignment horizontal="right" vertical="center" wrapText="1"/>
    </xf>
    <xf numFmtId="3" fontId="8" fillId="0" borderId="0" xfId="0" applyNumberFormat="1" applyFont="1" applyBorder="1"/>
    <xf numFmtId="0" fontId="8" fillId="0" borderId="0" xfId="0" applyFont="1" applyBorder="1" applyAlignment="1">
      <alignment wrapText="1"/>
    </xf>
    <xf numFmtId="3" fontId="7" fillId="0" borderId="0" xfId="0" applyNumberFormat="1" applyFont="1" applyBorder="1"/>
    <xf numFmtId="3" fontId="8" fillId="0" borderId="0" xfId="0" applyNumberFormat="1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right" vertic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vertical="center"/>
    </xf>
    <xf numFmtId="3" fontId="12" fillId="2" borderId="5" xfId="0" applyNumberFormat="1" applyFont="1" applyFill="1" applyBorder="1" applyAlignment="1">
      <alignment horizontal="right" vertical="center" wrapText="1"/>
    </xf>
    <xf numFmtId="3" fontId="12" fillId="4" borderId="5" xfId="0" applyNumberFormat="1" applyFont="1" applyFill="1" applyBorder="1" applyAlignment="1">
      <alignment horizontal="right" vertical="center" wrapText="1"/>
    </xf>
    <xf numFmtId="3" fontId="11" fillId="3" borderId="5" xfId="0" applyNumberFormat="1" applyFont="1" applyFill="1" applyBorder="1" applyAlignment="1">
      <alignment horizontal="right" vertical="center" wrapText="1"/>
    </xf>
    <xf numFmtId="3" fontId="10" fillId="3" borderId="5" xfId="0" applyNumberFormat="1" applyFont="1" applyFill="1" applyBorder="1" applyAlignment="1">
      <alignment vertical="center"/>
    </xf>
    <xf numFmtId="0" fontId="11" fillId="4" borderId="7" xfId="0" applyFont="1" applyFill="1" applyBorder="1" applyAlignment="1">
      <alignment vertical="center" wrapText="1"/>
    </xf>
    <xf numFmtId="0" fontId="0" fillId="3" borderId="7" xfId="0" applyFill="1" applyBorder="1" applyAlignment="1">
      <alignment vertical="center"/>
    </xf>
    <xf numFmtId="3" fontId="12" fillId="2" borderId="6" xfId="0" applyNumberFormat="1" applyFont="1" applyFill="1" applyBorder="1" applyAlignment="1">
      <alignment horizontal="right" vertical="center" wrapText="1"/>
    </xf>
    <xf numFmtId="49" fontId="12" fillId="4" borderId="6" xfId="0" applyNumberFormat="1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vertical="center"/>
    </xf>
    <xf numFmtId="49" fontId="12" fillId="2" borderId="7" xfId="0" applyNumberFormat="1" applyFont="1" applyFill="1" applyBorder="1" applyAlignment="1">
      <alignment horizontal="right" vertical="center" wrapText="1"/>
    </xf>
    <xf numFmtId="0" fontId="1" fillId="0" borderId="0" xfId="2" applyFont="1"/>
    <xf numFmtId="0" fontId="4" fillId="0" borderId="0" xfId="2"/>
    <xf numFmtId="0" fontId="23" fillId="5" borderId="1" xfId="2" applyFont="1" applyFill="1" applyBorder="1" applyAlignment="1">
      <alignment horizontal="center" vertical="center"/>
    </xf>
    <xf numFmtId="0" fontId="23" fillId="5" borderId="7" xfId="2" applyFont="1" applyFill="1" applyBorder="1" applyAlignment="1">
      <alignment horizontal="center" vertical="center"/>
    </xf>
    <xf numFmtId="0" fontId="23" fillId="5" borderId="10" xfId="2" applyFont="1" applyFill="1" applyBorder="1" applyAlignment="1">
      <alignment horizontal="center" vertical="center"/>
    </xf>
    <xf numFmtId="3" fontId="24" fillId="6" borderId="1" xfId="2" applyNumberFormat="1" applyFont="1" applyFill="1" applyBorder="1" applyAlignment="1">
      <alignment horizontal="right"/>
    </xf>
    <xf numFmtId="3" fontId="24" fillId="6" borderId="10" xfId="2" applyNumberFormat="1" applyFont="1" applyFill="1" applyBorder="1" applyAlignment="1">
      <alignment horizontal="right"/>
    </xf>
    <xf numFmtId="0" fontId="1" fillId="0" borderId="2" xfId="2" applyFont="1" applyBorder="1" applyAlignment="1">
      <alignment horizontal="center" vertical="center"/>
    </xf>
    <xf numFmtId="0" fontId="1" fillId="0" borderId="0" xfId="13" applyFont="1" applyFill="1" applyBorder="1" applyAlignment="1">
      <alignment wrapText="1"/>
    </xf>
    <xf numFmtId="3" fontId="1" fillId="0" borderId="3" xfId="2" applyNumberFormat="1" applyFont="1" applyBorder="1" applyAlignment="1">
      <alignment vertical="center"/>
    </xf>
    <xf numFmtId="3" fontId="1" fillId="0" borderId="19" xfId="2" applyNumberFormat="1" applyFont="1" applyBorder="1" applyAlignment="1">
      <alignment vertical="center"/>
    </xf>
    <xf numFmtId="3" fontId="4" fillId="0" borderId="0" xfId="2" applyNumberFormat="1"/>
    <xf numFmtId="0" fontId="1" fillId="0" borderId="15" xfId="2" applyFont="1" applyBorder="1" applyAlignment="1">
      <alignment horizontal="center" vertical="center"/>
    </xf>
    <xf numFmtId="0" fontId="1" fillId="0" borderId="17" xfId="13" applyFont="1" applyBorder="1" applyAlignment="1">
      <alignment wrapText="1"/>
    </xf>
    <xf numFmtId="3" fontId="1" fillId="0" borderId="18" xfId="2" applyNumberFormat="1" applyFont="1" applyBorder="1" applyAlignment="1">
      <alignment vertical="center"/>
    </xf>
    <xf numFmtId="3" fontId="1" fillId="0" borderId="20" xfId="2" applyNumberFormat="1" applyFont="1" applyBorder="1" applyAlignment="1">
      <alignment vertical="center"/>
    </xf>
    <xf numFmtId="3" fontId="24" fillId="6" borderId="1" xfId="2" applyNumberFormat="1" applyFont="1" applyFill="1" applyBorder="1" applyAlignment="1">
      <alignment vertical="center"/>
    </xf>
    <xf numFmtId="3" fontId="24" fillId="6" borderId="10" xfId="2" applyNumberFormat="1" applyFont="1" applyFill="1" applyBorder="1" applyAlignment="1">
      <alignment vertical="center"/>
    </xf>
    <xf numFmtId="0" fontId="1" fillId="0" borderId="21" xfId="2" applyFont="1" applyBorder="1" applyAlignment="1">
      <alignment horizontal="center" vertical="center"/>
    </xf>
    <xf numFmtId="0" fontId="1" fillId="0" borderId="22" xfId="13" applyFont="1" applyBorder="1" applyAlignment="1">
      <alignment vertical="center" wrapText="1"/>
    </xf>
    <xf numFmtId="3" fontId="1" fillId="0" borderId="23" xfId="2" applyNumberFormat="1" applyFont="1" applyBorder="1" applyAlignment="1">
      <alignment vertical="center"/>
    </xf>
    <xf numFmtId="3" fontId="1" fillId="0" borderId="24" xfId="2" applyNumberFormat="1" applyFont="1" applyBorder="1" applyAlignment="1">
      <alignment vertical="center"/>
    </xf>
    <xf numFmtId="0" fontId="1" fillId="0" borderId="14" xfId="2" applyFont="1" applyBorder="1" applyAlignment="1">
      <alignment horizontal="center" vertical="center"/>
    </xf>
    <xf numFmtId="0" fontId="1" fillId="0" borderId="16" xfId="13" applyFont="1" applyBorder="1" applyAlignment="1">
      <alignment vertical="center" wrapText="1"/>
    </xf>
    <xf numFmtId="3" fontId="1" fillId="0" borderId="14" xfId="2" applyNumberFormat="1" applyFont="1" applyBorder="1" applyAlignment="1">
      <alignment vertical="center"/>
    </xf>
    <xf numFmtId="3" fontId="1" fillId="0" borderId="25" xfId="2" applyNumberFormat="1" applyFont="1" applyBorder="1" applyAlignment="1">
      <alignment vertical="center"/>
    </xf>
    <xf numFmtId="0" fontId="1" fillId="0" borderId="17" xfId="13" applyFont="1" applyBorder="1" applyAlignment="1">
      <alignment vertical="center" wrapText="1"/>
    </xf>
    <xf numFmtId="3" fontId="4" fillId="0" borderId="0" xfId="2" applyNumberFormat="1" applyFont="1"/>
    <xf numFmtId="0" fontId="25" fillId="0" borderId="0" xfId="2" applyFont="1"/>
    <xf numFmtId="0" fontId="1" fillId="0" borderId="1" xfId="2" applyFont="1" applyFill="1" applyBorder="1" applyAlignment="1">
      <alignment horizontal="center"/>
    </xf>
    <xf numFmtId="0" fontId="1" fillId="0" borderId="0" xfId="2" applyFont="1" applyBorder="1"/>
    <xf numFmtId="0" fontId="1" fillId="0" borderId="22" xfId="13" applyFont="1" applyBorder="1"/>
    <xf numFmtId="0" fontId="1" fillId="0" borderId="16" xfId="13" applyFont="1" applyBorder="1"/>
    <xf numFmtId="3" fontId="25" fillId="0" borderId="0" xfId="2" applyNumberFormat="1" applyFont="1"/>
    <xf numFmtId="0" fontId="1" fillId="0" borderId="17" xfId="13" applyFont="1" applyBorder="1"/>
    <xf numFmtId="0" fontId="1" fillId="0" borderId="1" xfId="2" applyFont="1" applyBorder="1" applyAlignment="1">
      <alignment horizontal="center" vertical="center"/>
    </xf>
    <xf numFmtId="0" fontId="1" fillId="0" borderId="22" xfId="13" applyFont="1" applyBorder="1" applyAlignment="1">
      <alignment wrapText="1"/>
    </xf>
    <xf numFmtId="3" fontId="23" fillId="5" borderId="1" xfId="2" applyNumberFormat="1" applyFont="1" applyFill="1" applyBorder="1" applyAlignment="1">
      <alignment vertical="center"/>
    </xf>
    <xf numFmtId="0" fontId="26" fillId="0" borderId="0" xfId="2" applyFont="1" applyBorder="1" applyAlignment="1">
      <alignment horizontal="center"/>
    </xf>
    <xf numFmtId="3" fontId="27" fillId="0" borderId="0" xfId="2" applyNumberFormat="1" applyFont="1" applyBorder="1"/>
    <xf numFmtId="0" fontId="28" fillId="0" borderId="0" xfId="2" applyFont="1" applyBorder="1" applyAlignment="1">
      <alignment horizontal="center"/>
    </xf>
    <xf numFmtId="0" fontId="28" fillId="0" borderId="0" xfId="13" applyFont="1" applyBorder="1" applyAlignment="1">
      <alignment wrapText="1"/>
    </xf>
    <xf numFmtId="3" fontId="28" fillId="0" borderId="0" xfId="2" applyNumberFormat="1" applyFont="1" applyBorder="1"/>
    <xf numFmtId="0" fontId="12" fillId="4" borderId="9" xfId="0" applyFont="1" applyFill="1" applyBorder="1" applyAlignment="1">
      <alignment horizontal="center" vertical="top" wrapText="1"/>
    </xf>
    <xf numFmtId="0" fontId="12" fillId="4" borderId="27" xfId="0" applyFont="1" applyFill="1" applyBorder="1" applyAlignment="1">
      <alignment horizontal="center" vertical="top" wrapText="1"/>
    </xf>
    <xf numFmtId="0" fontId="12" fillId="4" borderId="26" xfId="0" applyFont="1" applyFill="1" applyBorder="1" applyAlignment="1">
      <alignment horizontal="center" vertical="top" wrapText="1"/>
    </xf>
    <xf numFmtId="0" fontId="20" fillId="4" borderId="6" xfId="0" applyFont="1" applyFill="1" applyBorder="1" applyAlignment="1">
      <alignment horizontal="center" vertical="top" wrapText="1"/>
    </xf>
    <xf numFmtId="0" fontId="20" fillId="4" borderId="7" xfId="0" applyFont="1" applyFill="1" applyBorder="1" applyAlignment="1">
      <alignment horizontal="center" vertical="top" wrapText="1"/>
    </xf>
    <xf numFmtId="3" fontId="12" fillId="2" borderId="1" xfId="0" applyNumberFormat="1" applyFont="1" applyFill="1" applyBorder="1" applyAlignment="1">
      <alignment horizontal="right" vertical="center" wrapText="1"/>
    </xf>
    <xf numFmtId="3" fontId="12" fillId="4" borderId="1" xfId="0" applyNumberFormat="1" applyFont="1" applyFill="1" applyBorder="1" applyAlignment="1">
      <alignment horizontal="right" vertical="center" wrapText="1"/>
    </xf>
    <xf numFmtId="3" fontId="11" fillId="3" borderId="1" xfId="0" applyNumberFormat="1" applyFont="1" applyFill="1" applyBorder="1" applyAlignment="1">
      <alignment horizontal="right" vertical="center" wrapText="1"/>
    </xf>
    <xf numFmtId="0" fontId="20" fillId="4" borderId="1" xfId="0" applyFont="1" applyFill="1" applyBorder="1" applyAlignment="1">
      <alignment horizontal="center" vertical="top" wrapText="1"/>
    </xf>
    <xf numFmtId="3" fontId="18" fillId="3" borderId="1" xfId="0" applyNumberFormat="1" applyFont="1" applyFill="1" applyBorder="1" applyAlignment="1">
      <alignment horizontal="right" vertical="center" wrapText="1"/>
    </xf>
    <xf numFmtId="3" fontId="10" fillId="3" borderId="1" xfId="0" applyNumberFormat="1" applyFont="1" applyFill="1" applyBorder="1" applyAlignment="1">
      <alignment vertical="center"/>
    </xf>
    <xf numFmtId="3" fontId="19" fillId="0" borderId="26" xfId="0" applyNumberFormat="1" applyFont="1" applyBorder="1" applyAlignment="1">
      <alignment horizontal="right" vertical="center"/>
    </xf>
    <xf numFmtId="0" fontId="20" fillId="4" borderId="27" xfId="0" applyFont="1" applyFill="1" applyBorder="1" applyAlignment="1">
      <alignment horizontal="center" vertical="top" wrapText="1"/>
    </xf>
    <xf numFmtId="3" fontId="19" fillId="0" borderId="30" xfId="0" applyNumberFormat="1" applyFont="1" applyBorder="1" applyAlignment="1">
      <alignment horizontal="right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29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right" vertical="center"/>
    </xf>
    <xf numFmtId="49" fontId="19" fillId="0" borderId="0" xfId="0" applyNumberFormat="1" applyFont="1" applyBorder="1" applyAlignment="1">
      <alignment horizontal="center" vertical="center"/>
    </xf>
    <xf numFmtId="49" fontId="19" fillId="0" borderId="32" xfId="0" applyNumberFormat="1" applyFont="1" applyBorder="1" applyAlignment="1">
      <alignment horizontal="center" vertical="center"/>
    </xf>
    <xf numFmtId="3" fontId="19" fillId="0" borderId="33" xfId="0" applyNumberFormat="1" applyFont="1" applyBorder="1" applyAlignment="1">
      <alignment horizontal="right" vertical="center"/>
    </xf>
    <xf numFmtId="49" fontId="19" fillId="0" borderId="16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3" fontId="19" fillId="0" borderId="34" xfId="0" applyNumberFormat="1" applyFont="1" applyBorder="1" applyAlignment="1">
      <alignment horizontal="right" vertical="center"/>
    </xf>
    <xf numFmtId="49" fontId="12" fillId="3" borderId="1" xfId="0" applyNumberFormat="1" applyFont="1" applyFill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/>
    </xf>
    <xf numFmtId="3" fontId="19" fillId="0" borderId="5" xfId="0" applyNumberFormat="1" applyFont="1" applyBorder="1" applyAlignment="1">
      <alignment horizontal="right" vertical="center"/>
    </xf>
    <xf numFmtId="49" fontId="19" fillId="0" borderId="28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35" xfId="0" applyNumberFormat="1" applyFont="1" applyBorder="1" applyAlignment="1">
      <alignment horizontal="center" vertical="center"/>
    </xf>
    <xf numFmtId="3" fontId="19" fillId="0" borderId="36" xfId="0" applyNumberFormat="1" applyFont="1" applyBorder="1" applyAlignment="1">
      <alignment horizontal="right" vertical="center"/>
    </xf>
    <xf numFmtId="49" fontId="19" fillId="0" borderId="17" xfId="0" applyNumberFormat="1" applyFont="1" applyBorder="1" applyAlignment="1">
      <alignment horizontal="center" vertical="center"/>
    </xf>
    <xf numFmtId="49" fontId="19" fillId="0" borderId="8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 vertical="center"/>
    </xf>
    <xf numFmtId="49" fontId="19" fillId="0" borderId="37" xfId="0" applyNumberFormat="1" applyFont="1" applyBorder="1" applyAlignment="1">
      <alignment horizontal="center" vertical="center"/>
    </xf>
    <xf numFmtId="49" fontId="19" fillId="0" borderId="38" xfId="0" applyNumberFormat="1" applyFont="1" applyBorder="1" applyAlignment="1">
      <alignment horizontal="center" vertical="center"/>
    </xf>
    <xf numFmtId="49" fontId="19" fillId="0" borderId="39" xfId="0" applyNumberFormat="1" applyFont="1" applyBorder="1" applyAlignment="1">
      <alignment horizontal="center" vertical="center"/>
    </xf>
    <xf numFmtId="49" fontId="19" fillId="0" borderId="40" xfId="0" applyNumberFormat="1" applyFont="1" applyBorder="1" applyAlignment="1">
      <alignment horizontal="center" vertical="center"/>
    </xf>
    <xf numFmtId="3" fontId="19" fillId="0" borderId="41" xfId="0" applyNumberFormat="1" applyFont="1" applyBorder="1" applyAlignment="1">
      <alignment horizontal="right" vertical="center"/>
    </xf>
    <xf numFmtId="49" fontId="19" fillId="0" borderId="42" xfId="0" applyNumberFormat="1" applyFont="1" applyBorder="1" applyAlignment="1">
      <alignment horizontal="center" vertical="center"/>
    </xf>
    <xf numFmtId="49" fontId="12" fillId="3" borderId="4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0" fontId="23" fillId="5" borderId="7" xfId="2" applyFont="1" applyFill="1" applyBorder="1" applyAlignment="1">
      <alignment horizontal="center" vertical="center"/>
    </xf>
    <xf numFmtId="0" fontId="23" fillId="5" borderId="6" xfId="2" applyFont="1" applyFill="1" applyBorder="1" applyAlignment="1">
      <alignment horizontal="center" vertical="center"/>
    </xf>
    <xf numFmtId="49" fontId="19" fillId="0" borderId="43" xfId="0" applyNumberFormat="1" applyFont="1" applyBorder="1" applyAlignment="1">
      <alignment horizontal="center" vertical="center"/>
    </xf>
    <xf numFmtId="3" fontId="19" fillId="0" borderId="44" xfId="0" applyNumberFormat="1" applyFont="1" applyBorder="1" applyAlignment="1">
      <alignment horizontal="right" vertical="center"/>
    </xf>
    <xf numFmtId="49" fontId="19" fillId="0" borderId="22" xfId="0" applyNumberFormat="1" applyFont="1" applyBorder="1" applyAlignment="1">
      <alignment horizontal="center" vertical="center"/>
    </xf>
    <xf numFmtId="49" fontId="19" fillId="0" borderId="45" xfId="0" applyNumberFormat="1" applyFont="1" applyBorder="1" applyAlignment="1">
      <alignment horizontal="center" vertical="center"/>
    </xf>
    <xf numFmtId="49" fontId="19" fillId="0" borderId="46" xfId="0" applyNumberFormat="1" applyFont="1" applyBorder="1" applyAlignment="1">
      <alignment horizontal="center" vertical="center"/>
    </xf>
    <xf numFmtId="3" fontId="19" fillId="0" borderId="0" xfId="0" applyNumberFormat="1" applyFont="1" applyBorder="1" applyAlignment="1">
      <alignment horizontal="right" vertical="center"/>
    </xf>
    <xf numFmtId="49" fontId="29" fillId="0" borderId="12" xfId="0" applyNumberFormat="1" applyFont="1" applyFill="1" applyBorder="1" applyAlignment="1">
      <alignment horizontal="center" vertical="center" wrapText="1"/>
    </xf>
    <xf numFmtId="49" fontId="29" fillId="0" borderId="11" xfId="0" applyNumberFormat="1" applyFont="1" applyFill="1" applyBorder="1" applyAlignment="1">
      <alignment horizontal="center" vertical="center" wrapText="1"/>
    </xf>
    <xf numFmtId="49" fontId="29" fillId="0" borderId="32" xfId="0" applyNumberFormat="1" applyFont="1" applyFill="1" applyBorder="1" applyAlignment="1">
      <alignment horizontal="center" vertical="center" wrapText="1"/>
    </xf>
    <xf numFmtId="49" fontId="12" fillId="0" borderId="29" xfId="0" applyNumberFormat="1" applyFont="1" applyFill="1" applyBorder="1" applyAlignment="1">
      <alignment vertical="center" wrapText="1"/>
    </xf>
    <xf numFmtId="3" fontId="23" fillId="5" borderId="1" xfId="2" applyNumberFormat="1" applyFont="1" applyFill="1" applyBorder="1" applyAlignment="1">
      <alignment horizontal="right" vertical="center"/>
    </xf>
    <xf numFmtId="0" fontId="1" fillId="0" borderId="0" xfId="13" applyFont="1" applyAlignment="1">
      <alignment wrapText="1"/>
    </xf>
    <xf numFmtId="0" fontId="1" fillId="0" borderId="1" xfId="2" applyFont="1" applyBorder="1" applyAlignment="1">
      <alignment horizontal="center"/>
    </xf>
    <xf numFmtId="0" fontId="1" fillId="0" borderId="0" xfId="2" applyFont="1" applyAlignment="1">
      <alignment wrapText="1"/>
    </xf>
    <xf numFmtId="0" fontId="26" fillId="0" borderId="0" xfId="2" applyFont="1" applyAlignment="1">
      <alignment horizontal="center"/>
    </xf>
    <xf numFmtId="3" fontId="27" fillId="0" borderId="0" xfId="2" applyNumberFormat="1" applyFont="1"/>
    <xf numFmtId="0" fontId="28" fillId="0" borderId="0" xfId="2" applyFont="1" applyAlignment="1">
      <alignment horizontal="center"/>
    </xf>
    <xf numFmtId="0" fontId="28" fillId="0" borderId="0" xfId="13" applyFont="1" applyAlignment="1">
      <alignment wrapText="1"/>
    </xf>
    <xf numFmtId="3" fontId="28" fillId="0" borderId="0" xfId="2" applyNumberFormat="1" applyFont="1"/>
    <xf numFmtId="49" fontId="19" fillId="0" borderId="30" xfId="0" applyNumberFormat="1" applyFont="1" applyBorder="1" applyAlignment="1">
      <alignment horizontal="right" vertical="center"/>
    </xf>
    <xf numFmtId="49" fontId="12" fillId="3" borderId="3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 vertical="center" wrapText="1"/>
    </xf>
    <xf numFmtId="49" fontId="12" fillId="4" borderId="3" xfId="0" applyNumberFormat="1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top" wrapText="1"/>
    </xf>
    <xf numFmtId="0" fontId="12" fillId="4" borderId="7" xfId="0" applyFont="1" applyFill="1" applyBorder="1" applyAlignment="1">
      <alignment horizontal="center" vertical="top" wrapText="1"/>
    </xf>
    <xf numFmtId="0" fontId="12" fillId="4" borderId="10" xfId="0" applyFont="1" applyFill="1" applyBorder="1" applyAlignment="1">
      <alignment horizontal="center" vertical="top" wrapText="1"/>
    </xf>
    <xf numFmtId="0" fontId="12" fillId="4" borderId="6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/>
    </xf>
    <xf numFmtId="0" fontId="20" fillId="5" borderId="7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20" fillId="5" borderId="10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49" fontId="20" fillId="4" borderId="4" xfId="0" applyNumberFormat="1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top" wrapText="1"/>
    </xf>
    <xf numFmtId="0" fontId="20" fillId="4" borderId="7" xfId="0" applyFont="1" applyFill="1" applyBorder="1" applyAlignment="1">
      <alignment horizontal="center" vertical="top" wrapText="1"/>
    </xf>
    <xf numFmtId="0" fontId="20" fillId="4" borderId="10" xfId="0" applyFont="1" applyFill="1" applyBorder="1" applyAlignment="1">
      <alignment horizontal="center" vertical="top" wrapText="1"/>
    </xf>
    <xf numFmtId="0" fontId="24" fillId="6" borderId="7" xfId="2" applyFont="1" applyFill="1" applyBorder="1" applyAlignment="1">
      <alignment horizontal="left"/>
    </xf>
    <xf numFmtId="0" fontId="24" fillId="6" borderId="6" xfId="2" applyFont="1" applyFill="1" applyBorder="1" applyAlignment="1">
      <alignment horizontal="left"/>
    </xf>
    <xf numFmtId="0" fontId="23" fillId="5" borderId="7" xfId="2" applyFont="1" applyFill="1" applyBorder="1" applyAlignment="1">
      <alignment horizontal="center" vertical="center"/>
    </xf>
    <xf numFmtId="0" fontId="23" fillId="5" borderId="6" xfId="2" applyFont="1" applyFill="1" applyBorder="1" applyAlignment="1">
      <alignment horizontal="center" vertical="center"/>
    </xf>
    <xf numFmtId="0" fontId="22" fillId="0" borderId="0" xfId="2" applyFont="1" applyAlignment="1">
      <alignment horizontal="right" vertical="center" wrapText="1"/>
    </xf>
    <xf numFmtId="0" fontId="21" fillId="0" borderId="11" xfId="2" applyFont="1" applyBorder="1" applyAlignment="1">
      <alignment horizontal="center" vertical="center" wrapText="1"/>
    </xf>
  </cellXfs>
  <cellStyles count="14">
    <cellStyle name="Normalny" xfId="0" builtinId="0"/>
    <cellStyle name="Normalny 2" xfId="1"/>
    <cellStyle name="Normalny 2 2" xfId="2"/>
    <cellStyle name="Normalny 3" xfId="3"/>
    <cellStyle name="Normalny 3 2" xfId="4"/>
    <cellStyle name="Normalny 3 2 2" xfId="5"/>
    <cellStyle name="Normalny 4" xfId="6"/>
    <cellStyle name="Normalny 5" xfId="7"/>
    <cellStyle name="Normalny 5 2" xfId="12"/>
    <cellStyle name="Normalny 6" xfId="8"/>
    <cellStyle name="Normalny 7" xfId="11"/>
    <cellStyle name="Normalny_Arkusz1" xfId="13"/>
    <cellStyle name="Procentowy 2" xfId="9"/>
    <cellStyle name="Walutowy 2" xfId="10"/>
  </cellStyles>
  <dxfs count="0"/>
  <tableStyles count="0" defaultTableStyle="TableStyleMedium9" defaultPivotStyle="PivotStyleLight16"/>
  <colors>
    <mruColors>
      <color rgb="FFCCFFFF"/>
      <color rgb="FFFFFF99"/>
      <color rgb="FF66FF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BreakPreview" zoomScale="110" zoomScaleSheetLayoutView="110" workbookViewId="0">
      <selection sqref="A1:F1"/>
    </sheetView>
  </sheetViews>
  <sheetFormatPr defaultRowHeight="14.25"/>
  <cols>
    <col min="1" max="1" width="7" customWidth="1"/>
    <col min="2" max="2" width="12.5" customWidth="1"/>
    <col min="3" max="3" width="10.375" customWidth="1"/>
    <col min="4" max="4" width="15.875" customWidth="1"/>
    <col min="5" max="5" width="10.375" customWidth="1"/>
    <col min="6" max="6" width="15.875" customWidth="1"/>
    <col min="7" max="7" width="12.125" customWidth="1"/>
    <col min="8" max="8" width="11.5" bestFit="1" customWidth="1"/>
    <col min="14" max="14" width="9.625" bestFit="1" customWidth="1"/>
  </cols>
  <sheetData>
    <row r="1" spans="1:7" ht="54.75" customHeight="1">
      <c r="A1" s="148" t="s">
        <v>170</v>
      </c>
      <c r="B1" s="148"/>
      <c r="C1" s="148"/>
      <c r="D1" s="148"/>
      <c r="E1" s="148"/>
      <c r="F1" s="148"/>
    </row>
    <row r="2" spans="1:7" ht="29.25" customHeight="1">
      <c r="A2" s="12"/>
      <c r="B2" s="12"/>
      <c r="C2" s="7"/>
      <c r="D2" s="7"/>
      <c r="E2" s="7"/>
      <c r="F2" s="7"/>
    </row>
    <row r="3" spans="1:7" ht="39.75" customHeight="1">
      <c r="A3" s="149" t="s">
        <v>13</v>
      </c>
      <c r="B3" s="149"/>
      <c r="C3" s="149"/>
      <c r="D3" s="149"/>
      <c r="E3" s="149"/>
      <c r="F3" s="149"/>
    </row>
    <row r="4" spans="1:7" ht="13.5" customHeight="1" thickBot="1">
      <c r="A4" s="157"/>
      <c r="B4" s="157"/>
      <c r="C4" s="157"/>
      <c r="D4" s="157"/>
      <c r="E4" s="157"/>
      <c r="F4" s="157"/>
    </row>
    <row r="5" spans="1:7" ht="24.75" customHeight="1" thickBot="1">
      <c r="A5" s="150" t="s">
        <v>8</v>
      </c>
      <c r="B5" s="151"/>
      <c r="C5" s="151"/>
      <c r="D5" s="151"/>
      <c r="E5" s="151"/>
      <c r="F5" s="152"/>
    </row>
    <row r="6" spans="1:7" ht="19.5" customHeight="1" thickBot="1">
      <c r="A6" s="153" t="s">
        <v>0</v>
      </c>
      <c r="B6" s="155" t="s">
        <v>1</v>
      </c>
      <c r="C6" s="160" t="s">
        <v>7</v>
      </c>
      <c r="D6" s="160"/>
      <c r="E6" s="158" t="s">
        <v>6</v>
      </c>
      <c r="F6" s="159"/>
    </row>
    <row r="7" spans="1:7" ht="24.75" customHeight="1" thickBot="1">
      <c r="A7" s="154"/>
      <c r="B7" s="156"/>
      <c r="C7" s="70" t="s">
        <v>5</v>
      </c>
      <c r="D7" s="71" t="s">
        <v>4</v>
      </c>
      <c r="E7" s="70" t="s">
        <v>5</v>
      </c>
      <c r="F7" s="72" t="s">
        <v>4</v>
      </c>
    </row>
    <row r="8" spans="1:7" ht="20.25" customHeight="1" thickBot="1">
      <c r="A8" s="145" t="s">
        <v>43</v>
      </c>
      <c r="B8" s="145" t="s">
        <v>44</v>
      </c>
      <c r="C8" s="94" t="s">
        <v>53</v>
      </c>
      <c r="D8" s="95">
        <f>-8872015+1468000</f>
        <v>-7404015</v>
      </c>
      <c r="E8" s="94"/>
      <c r="F8" s="95">
        <v>0</v>
      </c>
      <c r="G8" s="1"/>
    </row>
    <row r="9" spans="1:7" ht="20.25" customHeight="1" thickBot="1">
      <c r="A9" s="146"/>
      <c r="B9" s="146"/>
      <c r="C9" s="94" t="s">
        <v>54</v>
      </c>
      <c r="D9" s="95">
        <f>-1147152+500000</f>
        <v>-647152</v>
      </c>
      <c r="E9" s="94"/>
      <c r="F9" s="95">
        <v>0</v>
      </c>
      <c r="G9" s="1"/>
    </row>
    <row r="10" spans="1:7" ht="20.25" customHeight="1" thickBot="1">
      <c r="A10" s="147"/>
      <c r="B10" s="147"/>
      <c r="C10" s="91" t="s">
        <v>77</v>
      </c>
      <c r="D10" s="92">
        <v>-1775715</v>
      </c>
      <c r="E10" s="96"/>
      <c r="F10" s="83">
        <v>0</v>
      </c>
      <c r="G10" s="1"/>
    </row>
    <row r="11" spans="1:7" ht="20.25" customHeight="1" thickBot="1">
      <c r="A11" s="145" t="s">
        <v>61</v>
      </c>
      <c r="B11" s="93" t="s">
        <v>81</v>
      </c>
      <c r="C11" s="102"/>
      <c r="D11" s="95">
        <v>0</v>
      </c>
      <c r="E11" s="102" t="s">
        <v>82</v>
      </c>
      <c r="F11" s="95">
        <v>2500000</v>
      </c>
      <c r="G11" s="1">
        <f>SUM(D10:D11)</f>
        <v>-1775715</v>
      </c>
    </row>
    <row r="12" spans="1:7" ht="20.25" customHeight="1" thickBot="1">
      <c r="A12" s="146"/>
      <c r="B12" s="93" t="s">
        <v>70</v>
      </c>
      <c r="C12" s="94" t="s">
        <v>53</v>
      </c>
      <c r="D12" s="95">
        <f>-116655-16801994</f>
        <v>-16918649</v>
      </c>
      <c r="E12" s="94"/>
      <c r="F12" s="95">
        <v>0</v>
      </c>
      <c r="G12" s="1"/>
    </row>
    <row r="13" spans="1:7" ht="20.25" customHeight="1">
      <c r="A13" s="146"/>
      <c r="B13" s="145" t="s">
        <v>83</v>
      </c>
      <c r="C13" s="84" t="s">
        <v>71</v>
      </c>
      <c r="D13" s="81">
        <v>-273700</v>
      </c>
      <c r="E13" s="84" t="s">
        <v>63</v>
      </c>
      <c r="F13" s="81">
        <v>1859495</v>
      </c>
      <c r="G13" s="1">
        <f>SUM(D8,D12)</f>
        <v>-24322664</v>
      </c>
    </row>
    <row r="14" spans="1:7" ht="20.25" customHeight="1" thickBot="1">
      <c r="A14" s="147"/>
      <c r="B14" s="147"/>
      <c r="C14" s="85" t="s">
        <v>62</v>
      </c>
      <c r="D14" s="83">
        <v>-32200</v>
      </c>
      <c r="E14" s="96" t="s">
        <v>84</v>
      </c>
      <c r="F14" s="83">
        <v>36697</v>
      </c>
      <c r="G14" s="1"/>
    </row>
    <row r="15" spans="1:7" ht="20.25" customHeight="1">
      <c r="A15" s="145" t="s">
        <v>85</v>
      </c>
      <c r="B15" s="145" t="s">
        <v>86</v>
      </c>
      <c r="C15" s="87"/>
      <c r="D15" s="86">
        <v>0</v>
      </c>
      <c r="E15" s="87" t="s">
        <v>71</v>
      </c>
      <c r="F15" s="86">
        <f>163889+83784</f>
        <v>247673</v>
      </c>
      <c r="G15" s="1"/>
    </row>
    <row r="16" spans="1:7" ht="20.25" customHeight="1" thickBot="1">
      <c r="A16" s="146"/>
      <c r="B16" s="147"/>
      <c r="C16" s="85"/>
      <c r="D16" s="83">
        <v>0</v>
      </c>
      <c r="E16" s="96" t="s">
        <v>62</v>
      </c>
      <c r="F16" s="83">
        <f>29764+15216</f>
        <v>44980</v>
      </c>
      <c r="G16" s="1"/>
    </row>
    <row r="17" spans="1:9" ht="20.25" customHeight="1" thickBot="1">
      <c r="A17" s="147"/>
      <c r="B17" s="110" t="s">
        <v>87</v>
      </c>
      <c r="C17" s="91"/>
      <c r="D17" s="92">
        <v>0</v>
      </c>
      <c r="E17" s="91" t="s">
        <v>88</v>
      </c>
      <c r="F17" s="92">
        <v>83896</v>
      </c>
      <c r="G17" s="1"/>
    </row>
    <row r="18" spans="1:9" ht="16.5" customHeight="1" thickBot="1">
      <c r="A18" s="141" t="s">
        <v>3</v>
      </c>
      <c r="B18" s="142"/>
      <c r="C18" s="26"/>
      <c r="D18" s="16">
        <f>SUM(D8:D17)</f>
        <v>-27051431</v>
      </c>
      <c r="E18" s="22"/>
      <c r="F18" s="16">
        <f>SUM(F8:F17)</f>
        <v>4772741</v>
      </c>
      <c r="G18" s="1">
        <f>SUM(D18:F18)</f>
        <v>-22278690</v>
      </c>
      <c r="I18" s="6"/>
    </row>
    <row r="19" spans="1:9" ht="16.5" customHeight="1" thickBot="1">
      <c r="A19" s="143" t="s">
        <v>2</v>
      </c>
      <c r="B19" s="144"/>
      <c r="C19" s="20"/>
      <c r="D19" s="17"/>
      <c r="E19" s="23"/>
      <c r="F19" s="17"/>
      <c r="G19" s="1"/>
      <c r="I19" s="6"/>
    </row>
    <row r="20" spans="1:9" ht="23.25" customHeight="1" thickBot="1">
      <c r="A20" s="139" t="s">
        <v>14</v>
      </c>
      <c r="B20" s="140"/>
      <c r="C20" s="14"/>
      <c r="D20" s="18">
        <f>SUM(D13:D14)</f>
        <v>-305900</v>
      </c>
      <c r="E20" s="24"/>
      <c r="F20" s="18">
        <f>SUM(F13,F15:F17)</f>
        <v>2236044</v>
      </c>
      <c r="G20" s="3"/>
      <c r="H20" s="1"/>
    </row>
    <row r="21" spans="1:9" ht="26.25" customHeight="1" thickBot="1">
      <c r="A21" s="137" t="s">
        <v>15</v>
      </c>
      <c r="B21" s="138"/>
      <c r="C21" s="21"/>
      <c r="D21" s="19">
        <f>SUM(D8:D10,D12)</f>
        <v>-26745531</v>
      </c>
      <c r="E21" s="25"/>
      <c r="F21" s="19">
        <f>SUM(F11,F14)</f>
        <v>2536697</v>
      </c>
      <c r="G21" s="3"/>
      <c r="H21" s="1"/>
    </row>
    <row r="22" spans="1:9" ht="15">
      <c r="A22" s="2"/>
      <c r="B22" s="4"/>
      <c r="C22" s="4"/>
      <c r="D22" s="10">
        <f>SUM(D20:D21)</f>
        <v>-27051431</v>
      </c>
      <c r="E22" s="10">
        <f>SUM(E20:E21)</f>
        <v>0</v>
      </c>
      <c r="F22" s="10">
        <f>SUM(F20:F21)</f>
        <v>4772741</v>
      </c>
      <c r="G22" s="3"/>
      <c r="H22" s="1"/>
    </row>
    <row r="23" spans="1:9" ht="15">
      <c r="A23" s="2"/>
      <c r="B23" s="2"/>
      <c r="C23" s="3"/>
      <c r="D23" s="10">
        <f>D18-D22</f>
        <v>0</v>
      </c>
      <c r="E23" s="10">
        <f>E18-E22</f>
        <v>0</v>
      </c>
      <c r="F23" s="10">
        <f>F18-F22</f>
        <v>0</v>
      </c>
      <c r="G23" s="3"/>
    </row>
    <row r="24" spans="1:9">
      <c r="A24" s="2"/>
      <c r="B24" s="2"/>
      <c r="C24" s="9"/>
      <c r="D24" s="3"/>
      <c r="E24" s="3"/>
      <c r="F24" s="2"/>
      <c r="G24" s="2"/>
    </row>
    <row r="25" spans="1:9">
      <c r="A25" s="2"/>
      <c r="B25" s="2"/>
      <c r="C25" s="8"/>
      <c r="D25" s="8"/>
      <c r="E25" s="3"/>
      <c r="F25" s="2"/>
      <c r="G25" s="2"/>
    </row>
    <row r="26" spans="1:9">
      <c r="A26" s="2"/>
      <c r="B26" s="2"/>
      <c r="C26" s="2"/>
      <c r="D26" s="2"/>
      <c r="E26" s="2"/>
      <c r="F26" s="2"/>
      <c r="G26" s="2"/>
    </row>
    <row r="27" spans="1:9">
      <c r="A27" s="2"/>
      <c r="B27" s="2"/>
      <c r="C27" s="2"/>
      <c r="D27" s="2"/>
      <c r="E27" s="3"/>
      <c r="F27" s="2"/>
      <c r="G27" s="2"/>
    </row>
    <row r="28" spans="1:9">
      <c r="A28" s="2"/>
      <c r="B28" s="2"/>
      <c r="C28" s="8"/>
      <c r="D28" s="2"/>
      <c r="E28" s="2"/>
      <c r="F28" s="2"/>
      <c r="G28" s="2"/>
    </row>
  </sheetData>
  <mergeCells count="18">
    <mergeCell ref="A1:F1"/>
    <mergeCell ref="A3:F3"/>
    <mergeCell ref="A5:F5"/>
    <mergeCell ref="A6:A7"/>
    <mergeCell ref="B6:B7"/>
    <mergeCell ref="A4:F4"/>
    <mergeCell ref="E6:F6"/>
    <mergeCell ref="C6:D6"/>
    <mergeCell ref="A21:B21"/>
    <mergeCell ref="A20:B20"/>
    <mergeCell ref="A18:B18"/>
    <mergeCell ref="A19:B19"/>
    <mergeCell ref="B8:B10"/>
    <mergeCell ref="A8:A10"/>
    <mergeCell ref="B13:B14"/>
    <mergeCell ref="A11:A14"/>
    <mergeCell ref="B15:B16"/>
    <mergeCell ref="A15:A17"/>
  </mergeCells>
  <printOptions horizontalCentered="1"/>
  <pageMargins left="0.70866141732283472" right="0.51181102362204722" top="0.35433070866141736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view="pageBreakPreview" zoomScale="110" zoomScaleNormal="100" zoomScaleSheetLayoutView="110" workbookViewId="0">
      <selection sqref="A1:F1"/>
    </sheetView>
  </sheetViews>
  <sheetFormatPr defaultRowHeight="14.25"/>
  <cols>
    <col min="1" max="1" width="7" customWidth="1"/>
    <col min="2" max="2" width="10.875" customWidth="1"/>
    <col min="3" max="3" width="10.375" customWidth="1"/>
    <col min="4" max="4" width="15.875" customWidth="1"/>
    <col min="5" max="5" width="12.125" customWidth="1"/>
    <col min="6" max="6" width="15.875" customWidth="1"/>
    <col min="7" max="7" width="12.125" customWidth="1"/>
    <col min="8" max="8" width="11.5" bestFit="1" customWidth="1"/>
    <col min="9" max="9" width="10.125" bestFit="1" customWidth="1"/>
  </cols>
  <sheetData>
    <row r="1" spans="1:8" ht="54.75" customHeight="1">
      <c r="A1" s="148" t="s">
        <v>171</v>
      </c>
      <c r="B1" s="148"/>
      <c r="C1" s="148"/>
      <c r="D1" s="148"/>
      <c r="E1" s="148"/>
      <c r="F1" s="148"/>
    </row>
    <row r="2" spans="1:8" ht="14.25" customHeight="1">
      <c r="A2" s="12"/>
      <c r="B2" s="12"/>
      <c r="C2" s="13"/>
      <c r="D2" s="13"/>
      <c r="E2" s="13"/>
      <c r="F2" s="13"/>
    </row>
    <row r="3" spans="1:8" ht="22.5" customHeight="1">
      <c r="A3" s="149" t="s">
        <v>10</v>
      </c>
      <c r="B3" s="149"/>
      <c r="C3" s="149"/>
      <c r="D3" s="149"/>
      <c r="E3" s="149"/>
      <c r="F3" s="149"/>
    </row>
    <row r="4" spans="1:8" ht="13.5" customHeight="1" thickBot="1">
      <c r="A4" s="157"/>
      <c r="B4" s="157"/>
      <c r="C4" s="157"/>
      <c r="D4" s="157"/>
      <c r="E4" s="157"/>
      <c r="F4" s="157"/>
    </row>
    <row r="5" spans="1:8" ht="24.75" customHeight="1" thickBot="1">
      <c r="A5" s="163" t="s">
        <v>9</v>
      </c>
      <c r="B5" s="164"/>
      <c r="C5" s="164"/>
      <c r="D5" s="164"/>
      <c r="E5" s="164"/>
      <c r="F5" s="165"/>
    </row>
    <row r="6" spans="1:8" ht="19.5" customHeight="1" thickBot="1">
      <c r="A6" s="166" t="s">
        <v>0</v>
      </c>
      <c r="B6" s="168" t="s">
        <v>1</v>
      </c>
      <c r="C6" s="170" t="s">
        <v>7</v>
      </c>
      <c r="D6" s="170"/>
      <c r="E6" s="171" t="s">
        <v>6</v>
      </c>
      <c r="F6" s="172"/>
    </row>
    <row r="7" spans="1:8" ht="18.75" customHeight="1" thickBot="1">
      <c r="A7" s="167"/>
      <c r="B7" s="169"/>
      <c r="C7" s="73" t="s">
        <v>5</v>
      </c>
      <c r="D7" s="82" t="s">
        <v>4</v>
      </c>
      <c r="E7" s="74" t="s">
        <v>5</v>
      </c>
      <c r="F7" s="78" t="s">
        <v>4</v>
      </c>
    </row>
    <row r="8" spans="1:8" ht="16.5" customHeight="1">
      <c r="A8" s="145" t="s">
        <v>57</v>
      </c>
      <c r="B8" s="145" t="s">
        <v>94</v>
      </c>
      <c r="C8" s="104"/>
      <c r="D8" s="81">
        <v>0</v>
      </c>
      <c r="E8" s="84" t="s">
        <v>95</v>
      </c>
      <c r="F8" s="81">
        <v>99108</v>
      </c>
    </row>
    <row r="9" spans="1:8" ht="15" customHeight="1">
      <c r="A9" s="146"/>
      <c r="B9" s="146"/>
      <c r="C9" s="105"/>
      <c r="D9" s="89">
        <v>0</v>
      </c>
      <c r="E9" s="90" t="s">
        <v>67</v>
      </c>
      <c r="F9" s="89">
        <v>3641</v>
      </c>
    </row>
    <row r="10" spans="1:8" ht="15.75" customHeight="1">
      <c r="A10" s="146"/>
      <c r="B10" s="146"/>
      <c r="C10" s="106"/>
      <c r="D10" s="86">
        <v>0</v>
      </c>
      <c r="E10" s="97" t="s">
        <v>51</v>
      </c>
      <c r="F10" s="86">
        <v>32419</v>
      </c>
    </row>
    <row r="11" spans="1:8" ht="15" customHeight="1" thickBot="1">
      <c r="A11" s="146"/>
      <c r="B11" s="146"/>
      <c r="C11" s="118"/>
      <c r="D11" s="99">
        <v>0</v>
      </c>
      <c r="E11" s="98" t="s">
        <v>73</v>
      </c>
      <c r="F11" s="99">
        <v>3129</v>
      </c>
      <c r="G11" s="1">
        <f>SUM(F8:F11)</f>
        <v>138297</v>
      </c>
    </row>
    <row r="12" spans="1:8" ht="15" customHeight="1" thickBot="1">
      <c r="A12" s="147"/>
      <c r="B12" s="93" t="s">
        <v>96</v>
      </c>
      <c r="C12" s="119"/>
      <c r="D12" s="95">
        <v>0</v>
      </c>
      <c r="E12" s="102" t="s">
        <v>72</v>
      </c>
      <c r="F12" s="95">
        <v>115803</v>
      </c>
      <c r="G12" s="1">
        <f>SUM(F8:F12)</f>
        <v>254100</v>
      </c>
    </row>
    <row r="13" spans="1:8" ht="15" customHeight="1" thickBot="1">
      <c r="A13" s="93" t="s">
        <v>65</v>
      </c>
      <c r="B13" s="93" t="s">
        <v>66</v>
      </c>
      <c r="C13" s="119"/>
      <c r="D13" s="95">
        <v>0</v>
      </c>
      <c r="E13" s="102" t="s">
        <v>63</v>
      </c>
      <c r="F13" s="95">
        <v>327163</v>
      </c>
    </row>
    <row r="14" spans="1:8" ht="16.5" customHeight="1">
      <c r="A14" s="145" t="s">
        <v>43</v>
      </c>
      <c r="B14" s="145" t="s">
        <v>44</v>
      </c>
      <c r="C14" s="88" t="s">
        <v>52</v>
      </c>
      <c r="D14" s="89">
        <f>-2500000-647152-15681726-1775715-3700000</f>
        <v>-24304593</v>
      </c>
      <c r="E14" s="109" t="s">
        <v>60</v>
      </c>
      <c r="F14" s="108">
        <v>2000000</v>
      </c>
    </row>
    <row r="15" spans="1:8" ht="15" customHeight="1">
      <c r="A15" s="146"/>
      <c r="B15" s="146"/>
      <c r="C15" s="88" t="s">
        <v>55</v>
      </c>
      <c r="D15" s="89">
        <f>-2865710-18566375-2509728-8872015</f>
        <v>-32813828</v>
      </c>
      <c r="E15" s="87" t="s">
        <v>51</v>
      </c>
      <c r="F15" s="86">
        <f>278000+83000</f>
        <v>361000</v>
      </c>
      <c r="H15" s="1">
        <f>SUM(D10:D13)</f>
        <v>0</v>
      </c>
    </row>
    <row r="16" spans="1:8" ht="15" customHeight="1">
      <c r="A16" s="146"/>
      <c r="B16" s="146"/>
      <c r="C16" s="97" t="s">
        <v>56</v>
      </c>
      <c r="D16" s="86">
        <f>-500000-2713518-505713-25450808-3276418-442893-12342545</f>
        <v>-45231895</v>
      </c>
      <c r="E16" s="100" t="s">
        <v>101</v>
      </c>
      <c r="F16" s="99">
        <v>35000</v>
      </c>
      <c r="H16" s="1"/>
    </row>
    <row r="17" spans="1:8" ht="15" customHeight="1">
      <c r="A17" s="146"/>
      <c r="B17" s="146"/>
      <c r="C17" s="88" t="s">
        <v>59</v>
      </c>
      <c r="D17" s="89">
        <f>-41342-800000</f>
        <v>-841342</v>
      </c>
      <c r="E17" s="90" t="s">
        <v>52</v>
      </c>
      <c r="F17" s="89">
        <f>2500000+1864086+500000+1000000+1097462+2499998+442893+665616+86500+1154940+100000</f>
        <v>11911495</v>
      </c>
    </row>
    <row r="18" spans="1:8" ht="15.75" customHeight="1">
      <c r="A18" s="146"/>
      <c r="B18" s="146"/>
      <c r="C18" s="88" t="s">
        <v>98</v>
      </c>
      <c r="D18" s="89">
        <f>-668000</f>
        <v>-668000</v>
      </c>
      <c r="E18" s="90" t="s">
        <v>55</v>
      </c>
      <c r="F18" s="89">
        <f>589997+6514682</f>
        <v>7104679</v>
      </c>
    </row>
    <row r="19" spans="1:8" ht="15.75" customHeight="1">
      <c r="A19" s="146"/>
      <c r="B19" s="146"/>
      <c r="C19" s="97"/>
      <c r="D19" s="86">
        <v>0</v>
      </c>
      <c r="E19" s="87" t="s">
        <v>59</v>
      </c>
      <c r="F19" s="86">
        <v>1100000</v>
      </c>
    </row>
    <row r="20" spans="1:8" ht="15.75" customHeight="1">
      <c r="A20" s="146"/>
      <c r="B20" s="146"/>
      <c r="C20" s="88"/>
      <c r="D20" s="89">
        <v>0</v>
      </c>
      <c r="E20" s="90" t="s">
        <v>97</v>
      </c>
      <c r="F20" s="89">
        <f>35140+1468000</f>
        <v>1503140</v>
      </c>
    </row>
    <row r="21" spans="1:8" ht="15.75" customHeight="1">
      <c r="A21" s="146"/>
      <c r="B21" s="146"/>
      <c r="C21" s="88"/>
      <c r="D21" s="89">
        <v>0</v>
      </c>
      <c r="E21" s="90" t="s">
        <v>98</v>
      </c>
      <c r="F21" s="89">
        <f>6202</f>
        <v>6202</v>
      </c>
      <c r="G21" s="1">
        <f>SUM(F14:F22)</f>
        <v>24700191</v>
      </c>
    </row>
    <row r="22" spans="1:8" ht="15" customHeight="1" thickBot="1">
      <c r="A22" s="147"/>
      <c r="B22" s="147"/>
      <c r="C22" s="101"/>
      <c r="D22" s="92">
        <v>0</v>
      </c>
      <c r="E22" s="91" t="s">
        <v>64</v>
      </c>
      <c r="F22" s="92">
        <f>478675+200000</f>
        <v>678675</v>
      </c>
      <c r="G22" s="1">
        <f>SUM(D14:D18)</f>
        <v>-103859658</v>
      </c>
      <c r="H22" s="1">
        <f>SUM(D20:D21)</f>
        <v>0</v>
      </c>
    </row>
    <row r="23" spans="1:8" ht="15.75" customHeight="1" thickBot="1">
      <c r="A23" s="93" t="s">
        <v>68</v>
      </c>
      <c r="B23" s="93" t="s">
        <v>69</v>
      </c>
      <c r="C23" s="102"/>
      <c r="D23" s="95">
        <v>0</v>
      </c>
      <c r="E23" s="94" t="s">
        <v>90</v>
      </c>
      <c r="F23" s="95">
        <v>55307</v>
      </c>
      <c r="G23" s="1"/>
      <c r="H23" s="1"/>
    </row>
    <row r="24" spans="1:8" ht="15.75" customHeight="1">
      <c r="A24" s="145" t="s">
        <v>91</v>
      </c>
      <c r="B24" s="145" t="s">
        <v>92</v>
      </c>
      <c r="C24" s="103"/>
      <c r="D24" s="81">
        <v>0</v>
      </c>
      <c r="E24" s="84" t="s">
        <v>169</v>
      </c>
      <c r="F24" s="81">
        <f>156000+12000000</f>
        <v>12156000</v>
      </c>
      <c r="G24" s="1"/>
      <c r="H24" s="1"/>
    </row>
    <row r="25" spans="1:8" ht="15.75" customHeight="1" thickBot="1">
      <c r="A25" s="147"/>
      <c r="B25" s="147"/>
      <c r="C25" s="85"/>
      <c r="D25" s="83">
        <v>0</v>
      </c>
      <c r="E25" s="96" t="s">
        <v>90</v>
      </c>
      <c r="F25" s="83">
        <v>25000</v>
      </c>
      <c r="G25" s="1"/>
      <c r="H25" s="1"/>
    </row>
    <row r="26" spans="1:8" ht="15.75" customHeight="1" thickBot="1">
      <c r="A26" s="112" t="s">
        <v>99</v>
      </c>
      <c r="B26" s="112" t="s">
        <v>100</v>
      </c>
      <c r="C26" s="97" t="s">
        <v>55</v>
      </c>
      <c r="D26" s="86">
        <v>-116655</v>
      </c>
      <c r="E26" s="87"/>
      <c r="F26" s="86"/>
      <c r="G26" s="1"/>
      <c r="H26" s="1"/>
    </row>
    <row r="27" spans="1:8" ht="15.75" customHeight="1">
      <c r="A27" s="145" t="s">
        <v>47</v>
      </c>
      <c r="B27" s="145" t="s">
        <v>58</v>
      </c>
      <c r="C27" s="107" t="s">
        <v>51</v>
      </c>
      <c r="D27" s="108">
        <f>-83000</f>
        <v>-83000</v>
      </c>
      <c r="E27" s="109"/>
      <c r="F27" s="108"/>
      <c r="G27" s="1"/>
      <c r="H27" s="1"/>
    </row>
    <row r="28" spans="1:8" ht="15.75" customHeight="1">
      <c r="A28" s="146"/>
      <c r="B28" s="146"/>
      <c r="C28" s="97" t="s">
        <v>101</v>
      </c>
      <c r="D28" s="86">
        <v>-35000</v>
      </c>
      <c r="E28" s="87"/>
      <c r="F28" s="86"/>
      <c r="G28" s="1"/>
      <c r="H28" s="1"/>
    </row>
    <row r="29" spans="1:8" ht="15.75" customHeight="1" thickBot="1">
      <c r="A29" s="146"/>
      <c r="B29" s="147"/>
      <c r="C29" s="85" t="s">
        <v>52</v>
      </c>
      <c r="D29" s="83">
        <v>-100000</v>
      </c>
      <c r="E29" s="96"/>
      <c r="F29" s="83"/>
      <c r="G29" s="1"/>
      <c r="H29" s="1"/>
    </row>
    <row r="30" spans="1:8" ht="15.75" customHeight="1" thickBot="1">
      <c r="A30" s="146"/>
      <c r="B30" s="111" t="s">
        <v>102</v>
      </c>
      <c r="C30" s="101" t="s">
        <v>51</v>
      </c>
      <c r="D30" s="92">
        <v>-144428</v>
      </c>
      <c r="E30" s="91" t="s">
        <v>51</v>
      </c>
      <c r="F30" s="92">
        <v>144428</v>
      </c>
      <c r="G30" s="1"/>
      <c r="H30" s="1"/>
    </row>
    <row r="31" spans="1:8" ht="15.75" customHeight="1">
      <c r="A31" s="146"/>
      <c r="B31" s="145" t="s">
        <v>48</v>
      </c>
      <c r="C31" s="103" t="s">
        <v>104</v>
      </c>
      <c r="D31" s="81">
        <v>-40000</v>
      </c>
      <c r="E31" s="84" t="s">
        <v>104</v>
      </c>
      <c r="F31" s="81">
        <v>10000</v>
      </c>
      <c r="G31" s="1"/>
      <c r="H31" s="1"/>
    </row>
    <row r="32" spans="1:8" ht="15.75" customHeight="1">
      <c r="A32" s="146"/>
      <c r="B32" s="146"/>
      <c r="C32" s="88" t="s">
        <v>60</v>
      </c>
      <c r="D32" s="89">
        <f>-35000-30000</f>
        <v>-65000</v>
      </c>
      <c r="E32" s="90" t="s">
        <v>51</v>
      </c>
      <c r="F32" s="89">
        <v>30000</v>
      </c>
      <c r="G32" s="1"/>
      <c r="H32" s="1"/>
    </row>
    <row r="33" spans="1:8" ht="15.75" customHeight="1">
      <c r="A33" s="146"/>
      <c r="B33" s="146"/>
      <c r="C33" s="97" t="s">
        <v>51</v>
      </c>
      <c r="D33" s="86">
        <f>-39600-15000</f>
        <v>-54600</v>
      </c>
      <c r="E33" s="87" t="s">
        <v>101</v>
      </c>
      <c r="F33" s="86">
        <v>10000</v>
      </c>
      <c r="G33" s="1"/>
      <c r="H33" s="1"/>
    </row>
    <row r="34" spans="1:8" ht="15.75" customHeight="1">
      <c r="A34" s="146"/>
      <c r="B34" s="146"/>
      <c r="C34" s="88" t="s">
        <v>101</v>
      </c>
      <c r="D34" s="89">
        <f>-100000-40000</f>
        <v>-140000</v>
      </c>
      <c r="E34" s="90" t="s">
        <v>103</v>
      </c>
      <c r="F34" s="89">
        <v>63321</v>
      </c>
      <c r="G34" s="1">
        <f>SUM(D31:D34)</f>
        <v>-299600</v>
      </c>
      <c r="H34" s="1">
        <f>SUM(F31:F35)</f>
        <v>163321</v>
      </c>
    </row>
    <row r="35" spans="1:8" ht="15.75" customHeight="1" thickBot="1">
      <c r="A35" s="147"/>
      <c r="B35" s="147"/>
      <c r="C35" s="101" t="s">
        <v>103</v>
      </c>
      <c r="D35" s="92">
        <v>-63321</v>
      </c>
      <c r="E35" s="91" t="s">
        <v>90</v>
      </c>
      <c r="F35" s="92">
        <v>50000</v>
      </c>
      <c r="G35" s="1">
        <f>SUM(D27:D35)</f>
        <v>-725349</v>
      </c>
      <c r="H35" s="1">
        <f>SUM(F30:F35)</f>
        <v>307749</v>
      </c>
    </row>
    <row r="36" spans="1:8" ht="15.75" customHeight="1">
      <c r="A36" s="145" t="s">
        <v>85</v>
      </c>
      <c r="B36" s="145" t="s">
        <v>86</v>
      </c>
      <c r="C36" s="103"/>
      <c r="D36" s="81">
        <v>0</v>
      </c>
      <c r="E36" s="84" t="s">
        <v>105</v>
      </c>
      <c r="F36" s="81">
        <f>33175+26946</f>
        <v>60121</v>
      </c>
      <c r="G36" s="1"/>
      <c r="H36" s="1"/>
    </row>
    <row r="37" spans="1:8" ht="15.75" customHeight="1">
      <c r="A37" s="146"/>
      <c r="B37" s="146"/>
      <c r="C37" s="88"/>
      <c r="D37" s="89">
        <v>0</v>
      </c>
      <c r="E37" s="90" t="s">
        <v>106</v>
      </c>
      <c r="F37" s="89">
        <f>6025+4894</f>
        <v>10919</v>
      </c>
      <c r="G37" s="1"/>
      <c r="H37" s="1"/>
    </row>
    <row r="38" spans="1:8" ht="15.75" customHeight="1">
      <c r="A38" s="146"/>
      <c r="B38" s="146"/>
      <c r="C38" s="97"/>
      <c r="D38" s="86">
        <v>0</v>
      </c>
      <c r="E38" s="87" t="s">
        <v>107</v>
      </c>
      <c r="F38" s="86">
        <f>18398+4632</f>
        <v>23030</v>
      </c>
      <c r="G38" s="1"/>
      <c r="H38" s="1"/>
    </row>
    <row r="39" spans="1:8" ht="15.75" customHeight="1">
      <c r="A39" s="146"/>
      <c r="B39" s="146"/>
      <c r="C39" s="88"/>
      <c r="D39" s="89">
        <v>0</v>
      </c>
      <c r="E39" s="90" t="s">
        <v>108</v>
      </c>
      <c r="F39" s="89">
        <f>3341+841</f>
        <v>4182</v>
      </c>
      <c r="G39" s="1"/>
      <c r="H39" s="1"/>
    </row>
    <row r="40" spans="1:8" ht="15.75" customHeight="1">
      <c r="A40" s="146"/>
      <c r="B40" s="146"/>
      <c r="C40" s="97"/>
      <c r="D40" s="86">
        <v>0</v>
      </c>
      <c r="E40" s="87" t="s">
        <v>109</v>
      </c>
      <c r="F40" s="86">
        <f>2420+660</f>
        <v>3080</v>
      </c>
      <c r="G40" s="1"/>
      <c r="H40" s="1"/>
    </row>
    <row r="41" spans="1:8" ht="15.75" customHeight="1">
      <c r="A41" s="146"/>
      <c r="B41" s="146"/>
      <c r="C41" s="88"/>
      <c r="D41" s="89">
        <v>0</v>
      </c>
      <c r="E41" s="90" t="s">
        <v>110</v>
      </c>
      <c r="F41" s="89">
        <f>440+120</f>
        <v>560</v>
      </c>
      <c r="G41" s="1"/>
      <c r="H41" s="1"/>
    </row>
    <row r="42" spans="1:8" ht="15.75" customHeight="1">
      <c r="A42" s="146"/>
      <c r="B42" s="146"/>
      <c r="C42" s="97"/>
      <c r="D42" s="86">
        <v>0</v>
      </c>
      <c r="E42" s="87" t="s">
        <v>111</v>
      </c>
      <c r="F42" s="86">
        <f>25389+18304</f>
        <v>43693</v>
      </c>
      <c r="G42" s="1"/>
      <c r="H42" s="1"/>
    </row>
    <row r="43" spans="1:8" ht="15.75" customHeight="1">
      <c r="A43" s="146"/>
      <c r="B43" s="146"/>
      <c r="C43" s="88"/>
      <c r="D43" s="89">
        <v>0</v>
      </c>
      <c r="E43" s="90" t="s">
        <v>112</v>
      </c>
      <c r="F43" s="89">
        <f>4611+3324</f>
        <v>7935</v>
      </c>
      <c r="G43" s="1"/>
      <c r="H43" s="1"/>
    </row>
    <row r="44" spans="1:8" ht="15.75" customHeight="1">
      <c r="A44" s="146"/>
      <c r="B44" s="146"/>
      <c r="C44" s="97"/>
      <c r="D44" s="86">
        <v>0</v>
      </c>
      <c r="E44" s="87" t="s">
        <v>113</v>
      </c>
      <c r="F44" s="86">
        <f>677+2920</f>
        <v>3597</v>
      </c>
      <c r="G44" s="1"/>
      <c r="H44" s="1"/>
    </row>
    <row r="45" spans="1:8" ht="15.75" customHeight="1">
      <c r="A45" s="146"/>
      <c r="B45" s="146"/>
      <c r="C45" s="88"/>
      <c r="D45" s="89">
        <v>0</v>
      </c>
      <c r="E45" s="90" t="s">
        <v>114</v>
      </c>
      <c r="F45" s="89">
        <f>123+530</f>
        <v>653</v>
      </c>
      <c r="G45" s="1"/>
      <c r="H45" s="1"/>
    </row>
    <row r="46" spans="1:8" ht="15.75" customHeight="1">
      <c r="A46" s="146"/>
      <c r="B46" s="146"/>
      <c r="C46" s="97"/>
      <c r="D46" s="86">
        <v>0</v>
      </c>
      <c r="E46" s="87" t="s">
        <v>115</v>
      </c>
      <c r="F46" s="86">
        <f>15521+13235</f>
        <v>28756</v>
      </c>
      <c r="G46" s="1"/>
      <c r="H46" s="1"/>
    </row>
    <row r="47" spans="1:8" ht="15.75" customHeight="1">
      <c r="A47" s="146"/>
      <c r="B47" s="146"/>
      <c r="C47" s="88"/>
      <c r="D47" s="89">
        <v>0</v>
      </c>
      <c r="E47" s="90" t="s">
        <v>116</v>
      </c>
      <c r="F47" s="89">
        <f>2819+2404</f>
        <v>5223</v>
      </c>
      <c r="G47" s="1"/>
      <c r="H47" s="1"/>
    </row>
    <row r="48" spans="1:8" ht="15.75" customHeight="1">
      <c r="A48" s="146"/>
      <c r="B48" s="146"/>
      <c r="C48" s="97"/>
      <c r="D48" s="86">
        <v>0</v>
      </c>
      <c r="E48" s="87" t="s">
        <v>117</v>
      </c>
      <c r="F48" s="86">
        <f>13022+6669</f>
        <v>19691</v>
      </c>
      <c r="G48" s="1"/>
      <c r="H48" s="1"/>
    </row>
    <row r="49" spans="1:8" ht="15.75" customHeight="1">
      <c r="A49" s="146"/>
      <c r="B49" s="146"/>
      <c r="C49" s="88"/>
      <c r="D49" s="89">
        <v>0</v>
      </c>
      <c r="E49" s="90" t="s">
        <v>118</v>
      </c>
      <c r="F49" s="89">
        <f>2365+1211</f>
        <v>3576</v>
      </c>
      <c r="G49" s="1"/>
      <c r="H49" s="1"/>
    </row>
    <row r="50" spans="1:8" ht="15.75" customHeight="1">
      <c r="A50" s="146"/>
      <c r="B50" s="146"/>
      <c r="C50" s="97"/>
      <c r="D50" s="86">
        <v>0</v>
      </c>
      <c r="E50" s="87" t="s">
        <v>119</v>
      </c>
      <c r="F50" s="86">
        <v>1016</v>
      </c>
      <c r="G50" s="1"/>
      <c r="H50" s="1"/>
    </row>
    <row r="51" spans="1:8" ht="15.75" customHeight="1">
      <c r="A51" s="146"/>
      <c r="B51" s="146"/>
      <c r="C51" s="88"/>
      <c r="D51" s="89">
        <v>0</v>
      </c>
      <c r="E51" s="90" t="s">
        <v>120</v>
      </c>
      <c r="F51" s="89">
        <v>184</v>
      </c>
      <c r="G51" s="1"/>
      <c r="H51" s="1"/>
    </row>
    <row r="52" spans="1:8" ht="15.75" customHeight="1">
      <c r="A52" s="146"/>
      <c r="B52" s="146"/>
      <c r="C52" s="97"/>
      <c r="D52" s="86">
        <v>0</v>
      </c>
      <c r="E52" s="87" t="s">
        <v>129</v>
      </c>
      <c r="F52" s="86">
        <v>339</v>
      </c>
      <c r="G52" s="1"/>
      <c r="H52" s="1"/>
    </row>
    <row r="53" spans="1:8" ht="15.75" customHeight="1">
      <c r="A53" s="146"/>
      <c r="B53" s="146"/>
      <c r="C53" s="88"/>
      <c r="D53" s="89">
        <v>0</v>
      </c>
      <c r="E53" s="90" t="s">
        <v>130</v>
      </c>
      <c r="F53" s="89">
        <v>61</v>
      </c>
      <c r="G53" s="1"/>
      <c r="H53" s="1"/>
    </row>
    <row r="54" spans="1:8" ht="15.75" customHeight="1">
      <c r="A54" s="146"/>
      <c r="B54" s="146"/>
      <c r="C54" s="97"/>
      <c r="D54" s="86">
        <v>0</v>
      </c>
      <c r="E54" s="87" t="s">
        <v>121</v>
      </c>
      <c r="F54" s="86">
        <v>508</v>
      </c>
      <c r="G54" s="1"/>
      <c r="H54" s="1"/>
    </row>
    <row r="55" spans="1:8" ht="15.75" customHeight="1">
      <c r="A55" s="146"/>
      <c r="B55" s="146"/>
      <c r="C55" s="88"/>
      <c r="D55" s="89">
        <v>0</v>
      </c>
      <c r="E55" s="90" t="s">
        <v>122</v>
      </c>
      <c r="F55" s="89">
        <v>92</v>
      </c>
      <c r="G55" s="1"/>
      <c r="H55" s="1"/>
    </row>
    <row r="56" spans="1:8" ht="15.75" customHeight="1">
      <c r="A56" s="146"/>
      <c r="B56" s="146"/>
      <c r="C56" s="97"/>
      <c r="D56" s="86">
        <v>0</v>
      </c>
      <c r="E56" s="87" t="s">
        <v>123</v>
      </c>
      <c r="F56" s="86">
        <f>2493+3647</f>
        <v>6140</v>
      </c>
      <c r="G56" s="1"/>
      <c r="H56" s="1"/>
    </row>
    <row r="57" spans="1:8" ht="15.75" customHeight="1">
      <c r="A57" s="146"/>
      <c r="B57" s="146"/>
      <c r="C57" s="88"/>
      <c r="D57" s="89">
        <v>0</v>
      </c>
      <c r="E57" s="90" t="s">
        <v>124</v>
      </c>
      <c r="F57" s="89">
        <f>452+663</f>
        <v>1115</v>
      </c>
      <c r="G57" s="1"/>
      <c r="H57" s="1"/>
    </row>
    <row r="58" spans="1:8" ht="15.75" customHeight="1">
      <c r="A58" s="146"/>
      <c r="B58" s="146"/>
      <c r="C58" s="97"/>
      <c r="D58" s="86">
        <v>0</v>
      </c>
      <c r="E58" s="87" t="s">
        <v>125</v>
      </c>
      <c r="F58" s="86">
        <f>1000+508</f>
        <v>1508</v>
      </c>
      <c r="G58" s="1"/>
      <c r="H58" s="1"/>
    </row>
    <row r="59" spans="1:8" ht="15.75" customHeight="1">
      <c r="A59" s="146"/>
      <c r="B59" s="146"/>
      <c r="C59" s="88"/>
      <c r="D59" s="89">
        <v>0</v>
      </c>
      <c r="E59" s="90" t="s">
        <v>126</v>
      </c>
      <c r="F59" s="89">
        <f>182+92</f>
        <v>274</v>
      </c>
      <c r="G59" s="1"/>
      <c r="H59" s="1"/>
    </row>
    <row r="60" spans="1:8" ht="15.75" customHeight="1">
      <c r="A60" s="146"/>
      <c r="B60" s="146"/>
      <c r="C60" s="88"/>
      <c r="D60" s="89">
        <v>0</v>
      </c>
      <c r="E60" s="90" t="s">
        <v>127</v>
      </c>
      <c r="F60" s="89">
        <f>50270+5924</f>
        <v>56194</v>
      </c>
      <c r="G60" s="1"/>
      <c r="H60" s="1"/>
    </row>
    <row r="61" spans="1:8" ht="15.75" customHeight="1" thickBot="1">
      <c r="A61" s="146"/>
      <c r="B61" s="147"/>
      <c r="C61" s="101"/>
      <c r="D61" s="92">
        <v>0</v>
      </c>
      <c r="E61" s="91" t="s">
        <v>128</v>
      </c>
      <c r="F61" s="92">
        <f>9130+1076</f>
        <v>10206</v>
      </c>
      <c r="G61" s="1">
        <f>SUM(F36:F61)</f>
        <v>292653</v>
      </c>
      <c r="H61" s="1"/>
    </row>
    <row r="62" spans="1:8" ht="15.75" customHeight="1">
      <c r="A62" s="146"/>
      <c r="B62" s="145" t="s">
        <v>87</v>
      </c>
      <c r="C62" s="103" t="s">
        <v>63</v>
      </c>
      <c r="D62" s="81">
        <v>-9460</v>
      </c>
      <c r="E62" s="84" t="s">
        <v>131</v>
      </c>
      <c r="F62" s="81">
        <v>5400</v>
      </c>
      <c r="G62" s="1"/>
      <c r="H62" s="1"/>
    </row>
    <row r="63" spans="1:8" ht="15.75" customHeight="1">
      <c r="A63" s="146"/>
      <c r="B63" s="146"/>
      <c r="C63" s="88" t="s">
        <v>62</v>
      </c>
      <c r="D63" s="99">
        <v>-3706</v>
      </c>
      <c r="E63" s="88" t="s">
        <v>132</v>
      </c>
      <c r="F63" s="89">
        <v>965</v>
      </c>
      <c r="G63" s="1"/>
      <c r="H63" s="1"/>
    </row>
    <row r="64" spans="1:8" ht="15.75" customHeight="1">
      <c r="A64" s="146"/>
      <c r="B64" s="146"/>
      <c r="C64" s="88" t="s">
        <v>84</v>
      </c>
      <c r="D64" s="89">
        <v>-100</v>
      </c>
      <c r="E64" s="100" t="s">
        <v>133</v>
      </c>
      <c r="F64" s="99">
        <v>132</v>
      </c>
      <c r="G64" s="1"/>
      <c r="H64" s="1"/>
    </row>
    <row r="65" spans="1:8" ht="15.75" customHeight="1">
      <c r="A65" s="146"/>
      <c r="B65" s="146"/>
      <c r="C65" s="97" t="s">
        <v>90</v>
      </c>
      <c r="D65" s="116">
        <v>-5111</v>
      </c>
      <c r="E65" s="90" t="s">
        <v>60</v>
      </c>
      <c r="F65" s="89">
        <v>12320</v>
      </c>
      <c r="G65" s="1"/>
      <c r="H65" s="1"/>
    </row>
    <row r="66" spans="1:8" ht="15.75" customHeight="1">
      <c r="A66" s="146"/>
      <c r="B66" s="146"/>
      <c r="C66" s="88"/>
      <c r="D66" s="89">
        <v>0</v>
      </c>
      <c r="E66" s="90" t="s">
        <v>134</v>
      </c>
      <c r="F66" s="89">
        <v>36162</v>
      </c>
      <c r="G66" s="1">
        <f>SUM(D64:D66)</f>
        <v>-5211</v>
      </c>
      <c r="H66" s="1"/>
    </row>
    <row r="67" spans="1:8" ht="15.75" customHeight="1">
      <c r="A67" s="146"/>
      <c r="B67" s="146"/>
      <c r="C67" s="115"/>
      <c r="D67" s="116">
        <v>0</v>
      </c>
      <c r="E67" s="117" t="s">
        <v>51</v>
      </c>
      <c r="F67" s="116">
        <v>28059</v>
      </c>
      <c r="G67" s="1"/>
      <c r="H67" s="1"/>
    </row>
    <row r="68" spans="1:8" ht="15.75" customHeight="1">
      <c r="A68" s="146"/>
      <c r="B68" s="146"/>
      <c r="C68" s="115"/>
      <c r="D68" s="116">
        <v>0</v>
      </c>
      <c r="E68" s="117" t="s">
        <v>103</v>
      </c>
      <c r="F68" s="116">
        <v>800</v>
      </c>
      <c r="G68" s="1">
        <f>SUM(F62:F69)</f>
        <v>83896</v>
      </c>
      <c r="H68" s="1"/>
    </row>
    <row r="69" spans="1:8" ht="15.75" customHeight="1" thickBot="1">
      <c r="A69" s="147"/>
      <c r="B69" s="147"/>
      <c r="C69" s="101"/>
      <c r="D69" s="92">
        <v>0</v>
      </c>
      <c r="E69" s="91" t="s">
        <v>135</v>
      </c>
      <c r="F69" s="92">
        <v>58</v>
      </c>
      <c r="G69" s="1">
        <f>SUM(F67:F69)</f>
        <v>28917</v>
      </c>
      <c r="H69" s="1">
        <f>SUM(F36:F69)</f>
        <v>376549</v>
      </c>
    </row>
    <row r="70" spans="1:8" ht="15.75" customHeight="1">
      <c r="A70" s="145" t="s">
        <v>45</v>
      </c>
      <c r="B70" s="145" t="s">
        <v>46</v>
      </c>
      <c r="C70" s="97" t="s">
        <v>138</v>
      </c>
      <c r="D70" s="86">
        <v>-1655366</v>
      </c>
      <c r="E70" s="87"/>
      <c r="F70" s="86">
        <v>0</v>
      </c>
      <c r="G70" s="1"/>
      <c r="H70" s="1"/>
    </row>
    <row r="71" spans="1:8" ht="15.75" customHeight="1">
      <c r="A71" s="146"/>
      <c r="B71" s="146"/>
      <c r="C71" s="88" t="s">
        <v>136</v>
      </c>
      <c r="D71" s="89">
        <f>-2355295-7426191-7650720-864072-5820030-83696</f>
        <v>-24200004</v>
      </c>
      <c r="E71" s="90" t="s">
        <v>136</v>
      </c>
      <c r="F71" s="89">
        <f>1100000+457135+900000+83696+1691547</f>
        <v>4232378</v>
      </c>
      <c r="G71" s="1">
        <f>SUM(D66:D71)</f>
        <v>-25855370</v>
      </c>
      <c r="H71" s="1"/>
    </row>
    <row r="72" spans="1:8" ht="15.75" customHeight="1" thickBot="1">
      <c r="A72" s="146"/>
      <c r="B72" s="147"/>
      <c r="C72" s="101" t="s">
        <v>84</v>
      </c>
      <c r="D72" s="92">
        <v>-300307</v>
      </c>
      <c r="E72" s="91"/>
      <c r="F72" s="92">
        <v>0</v>
      </c>
      <c r="G72" s="1"/>
      <c r="H72" s="1"/>
    </row>
    <row r="73" spans="1:8" ht="15.75" customHeight="1" thickBot="1">
      <c r="A73" s="146"/>
      <c r="B73" s="93" t="s">
        <v>137</v>
      </c>
      <c r="C73" s="102"/>
      <c r="D73" s="95">
        <v>0</v>
      </c>
      <c r="E73" s="94" t="s">
        <v>136</v>
      </c>
      <c r="F73" s="95">
        <f>33000+203125</f>
        <v>236125</v>
      </c>
      <c r="G73" s="1"/>
      <c r="H73" s="1"/>
    </row>
    <row r="74" spans="1:8" ht="15.75" customHeight="1" thickBot="1">
      <c r="A74" s="147"/>
      <c r="B74" s="93" t="s">
        <v>139</v>
      </c>
      <c r="C74" s="94"/>
      <c r="D74" s="95">
        <v>0</v>
      </c>
      <c r="E74" s="94" t="s">
        <v>138</v>
      </c>
      <c r="F74" s="95">
        <v>397450</v>
      </c>
      <c r="G74" s="1">
        <f>SUM(F70:F74)</f>
        <v>4865953</v>
      </c>
      <c r="H74" s="1"/>
    </row>
    <row r="75" spans="1:8" ht="15.75" customHeight="1">
      <c r="A75" s="145" t="s">
        <v>50</v>
      </c>
      <c r="B75" s="145" t="s">
        <v>89</v>
      </c>
      <c r="C75" s="103"/>
      <c r="D75" s="81">
        <v>0</v>
      </c>
      <c r="E75" s="84" t="s">
        <v>67</v>
      </c>
      <c r="F75" s="81">
        <v>28500</v>
      </c>
      <c r="G75" s="1">
        <f>SUM(F23:F75)</f>
        <v>17815058</v>
      </c>
      <c r="H75" s="1">
        <f>SUM(F72:F74)</f>
        <v>633575</v>
      </c>
    </row>
    <row r="76" spans="1:8" ht="15.75" customHeight="1" thickBot="1">
      <c r="A76" s="146"/>
      <c r="B76" s="147"/>
      <c r="C76" s="85"/>
      <c r="D76" s="83">
        <v>0</v>
      </c>
      <c r="E76" s="96" t="s">
        <v>59</v>
      </c>
      <c r="F76" s="83">
        <v>278142</v>
      </c>
      <c r="G76" s="1"/>
      <c r="H76" s="1"/>
    </row>
    <row r="77" spans="1:8" ht="15.75" customHeight="1">
      <c r="A77" s="146"/>
      <c r="B77" s="145" t="s">
        <v>93</v>
      </c>
      <c r="C77" s="107" t="s">
        <v>62</v>
      </c>
      <c r="D77" s="108">
        <v>-121905</v>
      </c>
      <c r="E77" s="109" t="s">
        <v>63</v>
      </c>
      <c r="F77" s="108">
        <f>1297438+8754</f>
        <v>1306192</v>
      </c>
      <c r="G77" s="1"/>
      <c r="H77" s="1"/>
    </row>
    <row r="78" spans="1:8" ht="15.75" customHeight="1" thickBot="1">
      <c r="A78" s="147"/>
      <c r="B78" s="147"/>
      <c r="C78" s="101" t="s">
        <v>84</v>
      </c>
      <c r="D78" s="92">
        <v>-623</v>
      </c>
      <c r="E78" s="91" t="s">
        <v>90</v>
      </c>
      <c r="F78" s="92">
        <v>43784</v>
      </c>
      <c r="G78" s="1">
        <f>SUM(F75:F78)</f>
        <v>1656618</v>
      </c>
      <c r="H78" s="1"/>
    </row>
    <row r="79" spans="1:8" ht="15.75" customHeight="1" thickBot="1">
      <c r="A79" s="145" t="s">
        <v>49</v>
      </c>
      <c r="B79" s="112" t="s">
        <v>140</v>
      </c>
      <c r="C79" s="97" t="s">
        <v>52</v>
      </c>
      <c r="D79" s="86">
        <v>-150000</v>
      </c>
      <c r="E79" s="87" t="s">
        <v>59</v>
      </c>
      <c r="F79" s="86">
        <v>150000</v>
      </c>
      <c r="G79" s="1"/>
      <c r="H79" s="1"/>
    </row>
    <row r="80" spans="1:8" ht="15.75" customHeight="1">
      <c r="A80" s="146"/>
      <c r="B80" s="145" t="s">
        <v>74</v>
      </c>
      <c r="C80" s="103" t="s">
        <v>90</v>
      </c>
      <c r="D80" s="81">
        <v>-1253</v>
      </c>
      <c r="E80" s="84" t="s">
        <v>63</v>
      </c>
      <c r="F80" s="81">
        <v>359946</v>
      </c>
      <c r="G80" s="1">
        <f>SUM(D80,D78,D77,D67,D66,D65,D64)</f>
        <v>-128992</v>
      </c>
      <c r="H80" s="1"/>
    </row>
    <row r="81" spans="1:8" ht="15.75" customHeight="1" thickBot="1">
      <c r="A81" s="147"/>
      <c r="B81" s="147"/>
      <c r="C81" s="85"/>
      <c r="D81" s="83">
        <v>0</v>
      </c>
      <c r="E81" s="96" t="s">
        <v>62</v>
      </c>
      <c r="F81" s="83">
        <v>1265</v>
      </c>
      <c r="G81" s="1">
        <f>SUM(F79:F81)</f>
        <v>511211</v>
      </c>
      <c r="H81" s="1">
        <f>SUM(F81,F80,F78,F77,F13)</f>
        <v>2038350</v>
      </c>
    </row>
    <row r="82" spans="1:8" ht="15.75" customHeight="1">
      <c r="A82" s="145" t="s">
        <v>141</v>
      </c>
      <c r="B82" s="145" t="s">
        <v>142</v>
      </c>
      <c r="C82" s="103" t="s">
        <v>105</v>
      </c>
      <c r="D82" s="81">
        <v>-26524</v>
      </c>
      <c r="E82" s="84"/>
      <c r="F82" s="81">
        <v>0</v>
      </c>
      <c r="G82" s="1">
        <f>SUM(F80:F82)</f>
        <v>361211</v>
      </c>
      <c r="H82" s="1"/>
    </row>
    <row r="83" spans="1:8" ht="15.75" customHeight="1">
      <c r="A83" s="146"/>
      <c r="B83" s="146"/>
      <c r="C83" s="88" t="s">
        <v>106</v>
      </c>
      <c r="D83" s="89">
        <v>-4680</v>
      </c>
      <c r="E83" s="90"/>
      <c r="F83" s="89">
        <v>0</v>
      </c>
      <c r="G83" s="1"/>
      <c r="H83" s="1"/>
    </row>
    <row r="84" spans="1:8" ht="15.75" customHeight="1">
      <c r="A84" s="146"/>
      <c r="B84" s="146"/>
      <c r="C84" s="97" t="s">
        <v>107</v>
      </c>
      <c r="D84" s="86">
        <v>-4559</v>
      </c>
      <c r="E84" s="87"/>
      <c r="F84" s="86">
        <v>0</v>
      </c>
      <c r="G84" s="1"/>
      <c r="H84" s="1"/>
    </row>
    <row r="85" spans="1:8" ht="15.75" customHeight="1">
      <c r="A85" s="146"/>
      <c r="B85" s="146"/>
      <c r="C85" s="88" t="s">
        <v>108</v>
      </c>
      <c r="D85" s="89">
        <v>-805</v>
      </c>
      <c r="E85" s="90"/>
      <c r="F85" s="89">
        <v>0</v>
      </c>
      <c r="G85" s="1"/>
      <c r="H85" s="1"/>
    </row>
    <row r="86" spans="1:8" ht="15.75" customHeight="1">
      <c r="A86" s="146"/>
      <c r="B86" s="146"/>
      <c r="C86" s="97" t="s">
        <v>109</v>
      </c>
      <c r="D86" s="86">
        <v>-650</v>
      </c>
      <c r="E86" s="87"/>
      <c r="F86" s="86">
        <v>0</v>
      </c>
      <c r="G86" s="1"/>
      <c r="H86" s="1"/>
    </row>
    <row r="87" spans="1:8" ht="15.75" customHeight="1">
      <c r="A87" s="146"/>
      <c r="B87" s="146"/>
      <c r="C87" s="88" t="s">
        <v>110</v>
      </c>
      <c r="D87" s="89">
        <v>-115</v>
      </c>
      <c r="E87" s="90"/>
      <c r="F87" s="89">
        <v>0</v>
      </c>
      <c r="G87" s="1"/>
      <c r="H87" s="1"/>
    </row>
    <row r="88" spans="1:8" ht="15.75" customHeight="1">
      <c r="A88" s="146"/>
      <c r="B88" s="146"/>
      <c r="C88" s="97" t="s">
        <v>125</v>
      </c>
      <c r="D88" s="86">
        <v>-397</v>
      </c>
      <c r="E88" s="87"/>
      <c r="F88" s="86">
        <v>0</v>
      </c>
      <c r="G88" s="1"/>
      <c r="H88" s="1"/>
    </row>
    <row r="89" spans="1:8" ht="15.75" customHeight="1">
      <c r="A89" s="146"/>
      <c r="B89" s="146"/>
      <c r="C89" s="88" t="s">
        <v>126</v>
      </c>
      <c r="D89" s="89">
        <v>-70</v>
      </c>
      <c r="E89" s="90"/>
      <c r="F89" s="89">
        <v>0</v>
      </c>
      <c r="G89" s="1"/>
      <c r="H89" s="1"/>
    </row>
    <row r="90" spans="1:8" ht="15.75" customHeight="1">
      <c r="A90" s="146"/>
      <c r="B90" s="146"/>
      <c r="C90" s="97" t="s">
        <v>143</v>
      </c>
      <c r="D90" s="86">
        <v>-238000</v>
      </c>
      <c r="E90" s="87"/>
      <c r="F90" s="86">
        <v>0</v>
      </c>
      <c r="G90" s="1"/>
      <c r="H90" s="1"/>
    </row>
    <row r="91" spans="1:8" ht="15.75" customHeight="1">
      <c r="A91" s="146"/>
      <c r="B91" s="146"/>
      <c r="C91" s="88" t="s">
        <v>144</v>
      </c>
      <c r="D91" s="89">
        <v>-42000</v>
      </c>
      <c r="E91" s="90"/>
      <c r="F91" s="89">
        <v>0</v>
      </c>
      <c r="G91" s="1"/>
      <c r="H91" s="1"/>
    </row>
    <row r="92" spans="1:8" ht="15.75" customHeight="1">
      <c r="A92" s="146"/>
      <c r="B92" s="146"/>
      <c r="C92" s="97" t="s">
        <v>113</v>
      </c>
      <c r="D92" s="86">
        <v>-2142</v>
      </c>
      <c r="E92" s="87"/>
      <c r="F92" s="86">
        <v>0</v>
      </c>
      <c r="G92" s="1"/>
      <c r="H92" s="1"/>
    </row>
    <row r="93" spans="1:8" ht="15.75" customHeight="1">
      <c r="A93" s="146"/>
      <c r="B93" s="146"/>
      <c r="C93" s="88" t="s">
        <v>114</v>
      </c>
      <c r="D93" s="89">
        <v>-378</v>
      </c>
      <c r="E93" s="90"/>
      <c r="F93" s="89">
        <v>0</v>
      </c>
      <c r="G93" s="1"/>
      <c r="H93" s="1">
        <f>SUM(F75:F94)</f>
        <v>2167829</v>
      </c>
    </row>
    <row r="94" spans="1:8" ht="15.75" customHeight="1">
      <c r="A94" s="146"/>
      <c r="B94" s="146"/>
      <c r="C94" s="98" t="s">
        <v>119</v>
      </c>
      <c r="D94" s="99">
        <v>-714</v>
      </c>
      <c r="E94" s="100"/>
      <c r="F94" s="99">
        <v>0</v>
      </c>
      <c r="G94" s="1">
        <f>SUM(F92:F94)</f>
        <v>0</v>
      </c>
      <c r="H94" s="1"/>
    </row>
    <row r="95" spans="1:8" ht="15.75" customHeight="1">
      <c r="A95" s="146"/>
      <c r="B95" s="146"/>
      <c r="C95" s="88" t="s">
        <v>120</v>
      </c>
      <c r="D95" s="89">
        <v>-126</v>
      </c>
      <c r="E95" s="90"/>
      <c r="F95" s="89">
        <v>0</v>
      </c>
      <c r="G95" s="1"/>
      <c r="H95" s="1"/>
    </row>
    <row r="96" spans="1:8" ht="15.75" customHeight="1">
      <c r="A96" s="146"/>
      <c r="B96" s="146"/>
      <c r="C96" s="87" t="s">
        <v>129</v>
      </c>
      <c r="D96" s="86">
        <v>-357</v>
      </c>
      <c r="E96" s="87"/>
      <c r="F96" s="86">
        <v>0</v>
      </c>
      <c r="G96" s="1"/>
      <c r="H96" s="1"/>
    </row>
    <row r="97" spans="1:9" ht="15.75" customHeight="1">
      <c r="A97" s="146"/>
      <c r="B97" s="146"/>
      <c r="C97" s="88" t="s">
        <v>130</v>
      </c>
      <c r="D97" s="89">
        <v>-63</v>
      </c>
      <c r="E97" s="90"/>
      <c r="F97" s="89">
        <v>0</v>
      </c>
      <c r="G97" s="1">
        <f>SUM(F82:F97)</f>
        <v>0</v>
      </c>
      <c r="H97" s="1"/>
    </row>
    <row r="98" spans="1:9" ht="15.75" customHeight="1">
      <c r="A98" s="146"/>
      <c r="B98" s="146"/>
      <c r="C98" s="87" t="s">
        <v>121</v>
      </c>
      <c r="D98" s="86">
        <v>-357</v>
      </c>
      <c r="E98" s="87"/>
      <c r="F98" s="86">
        <v>0</v>
      </c>
      <c r="G98" s="1"/>
      <c r="H98" s="1"/>
    </row>
    <row r="99" spans="1:9" ht="15.75" customHeight="1" thickBot="1">
      <c r="A99" s="147"/>
      <c r="B99" s="147"/>
      <c r="C99" s="85" t="s">
        <v>122</v>
      </c>
      <c r="D99" s="83">
        <v>-63</v>
      </c>
      <c r="E99" s="96"/>
      <c r="F99" s="83">
        <v>0</v>
      </c>
      <c r="G99" s="1">
        <f>SUM(D82:D99)</f>
        <v>-322000</v>
      </c>
      <c r="H99" s="1"/>
    </row>
    <row r="100" spans="1:9" ht="15.75" customHeight="1" thickBot="1">
      <c r="A100" s="93" t="s">
        <v>145</v>
      </c>
      <c r="B100" s="93" t="s">
        <v>146</v>
      </c>
      <c r="C100" s="94" t="s">
        <v>51</v>
      </c>
      <c r="D100" s="95">
        <v>-12000</v>
      </c>
      <c r="E100" s="94"/>
      <c r="F100" s="95">
        <v>0</v>
      </c>
      <c r="G100" s="1"/>
      <c r="H100" s="1"/>
    </row>
    <row r="101" spans="1:9" ht="15.75" customHeight="1" thickBot="1">
      <c r="A101" s="145" t="s">
        <v>75</v>
      </c>
      <c r="B101" s="112" t="s">
        <v>149</v>
      </c>
      <c r="C101" s="97" t="s">
        <v>136</v>
      </c>
      <c r="D101" s="81">
        <v>-200000</v>
      </c>
      <c r="E101" s="87"/>
      <c r="F101" s="81">
        <v>0</v>
      </c>
      <c r="G101" s="1"/>
      <c r="H101" s="1"/>
    </row>
    <row r="102" spans="1:9" ht="15.75" customHeight="1">
      <c r="A102" s="146"/>
      <c r="B102" s="145" t="s">
        <v>150</v>
      </c>
      <c r="C102" s="84" t="s">
        <v>136</v>
      </c>
      <c r="D102" s="81">
        <v>-22000</v>
      </c>
      <c r="E102" s="84" t="s">
        <v>151</v>
      </c>
      <c r="F102" s="81">
        <f>197000+22000</f>
        <v>219000</v>
      </c>
      <c r="G102" s="1"/>
      <c r="H102" s="1"/>
    </row>
    <row r="103" spans="1:9" ht="15.75" customHeight="1" thickBot="1">
      <c r="A103" s="146"/>
      <c r="B103" s="147"/>
      <c r="C103" s="85"/>
      <c r="D103" s="83">
        <v>0</v>
      </c>
      <c r="E103" s="96" t="s">
        <v>152</v>
      </c>
      <c r="F103" s="83">
        <v>30000</v>
      </c>
      <c r="G103" s="1"/>
      <c r="H103" s="1"/>
    </row>
    <row r="104" spans="1:9" ht="15.75" customHeight="1">
      <c r="A104" s="146"/>
      <c r="B104" s="145" t="s">
        <v>153</v>
      </c>
      <c r="C104" s="84" t="s">
        <v>136</v>
      </c>
      <c r="D104" s="81">
        <v>-600000</v>
      </c>
      <c r="E104" s="84" t="s">
        <v>151</v>
      </c>
      <c r="F104" s="81">
        <f>66900+50676</f>
        <v>117576</v>
      </c>
      <c r="G104" s="1"/>
      <c r="H104" s="1"/>
    </row>
    <row r="105" spans="1:9" ht="15.75" customHeight="1" thickBot="1">
      <c r="A105" s="146"/>
      <c r="B105" s="147"/>
      <c r="C105" s="85"/>
      <c r="D105" s="83">
        <v>0</v>
      </c>
      <c r="E105" s="96" t="s">
        <v>136</v>
      </c>
      <c r="F105" s="83">
        <v>70000</v>
      </c>
      <c r="G105" s="1"/>
      <c r="H105" s="1"/>
    </row>
    <row r="106" spans="1:9" ht="15.75" customHeight="1">
      <c r="A106" s="146"/>
      <c r="B106" s="145" t="s">
        <v>154</v>
      </c>
      <c r="C106" s="84"/>
      <c r="D106" s="81">
        <v>0</v>
      </c>
      <c r="E106" s="84" t="s">
        <v>151</v>
      </c>
      <c r="F106" s="81">
        <v>8000</v>
      </c>
      <c r="G106" s="1"/>
      <c r="H106" s="1"/>
    </row>
    <row r="107" spans="1:9" ht="15.75" customHeight="1" thickBot="1">
      <c r="A107" s="146"/>
      <c r="B107" s="147"/>
      <c r="C107" s="124"/>
      <c r="D107" s="134" t="s">
        <v>165</v>
      </c>
      <c r="E107" s="96">
        <v>6220</v>
      </c>
      <c r="F107" s="83">
        <v>66000</v>
      </c>
      <c r="G107" s="120"/>
      <c r="H107" s="3"/>
      <c r="I107" s="1"/>
    </row>
    <row r="108" spans="1:9" ht="15.75" customHeight="1">
      <c r="A108" s="146"/>
      <c r="B108" s="145" t="s">
        <v>155</v>
      </c>
      <c r="C108" s="121" t="s">
        <v>152</v>
      </c>
      <c r="D108" s="81">
        <v>-20000</v>
      </c>
      <c r="E108" s="84" t="s">
        <v>151</v>
      </c>
      <c r="F108" s="81">
        <f>90000+69000+55000</f>
        <v>214000</v>
      </c>
      <c r="G108" s="120"/>
      <c r="H108" s="3"/>
      <c r="I108" s="1"/>
    </row>
    <row r="109" spans="1:9" ht="15.75" customHeight="1">
      <c r="A109" s="146"/>
      <c r="B109" s="146"/>
      <c r="C109" s="123" t="s">
        <v>136</v>
      </c>
      <c r="D109" s="89">
        <f>-54000-500000</f>
        <v>-554000</v>
      </c>
      <c r="E109" s="90">
        <v>2800</v>
      </c>
      <c r="F109" s="89">
        <v>20000</v>
      </c>
      <c r="G109" s="120"/>
      <c r="H109" s="3"/>
      <c r="I109" s="1"/>
    </row>
    <row r="110" spans="1:9" ht="15.75" customHeight="1" thickBot="1">
      <c r="A110" s="146"/>
      <c r="B110" s="147"/>
      <c r="C110" s="122"/>
      <c r="D110" s="92">
        <v>0</v>
      </c>
      <c r="E110" s="91" t="s">
        <v>136</v>
      </c>
      <c r="F110" s="92">
        <f>54000+60000+300000</f>
        <v>414000</v>
      </c>
      <c r="G110" s="120"/>
      <c r="H110" s="3"/>
      <c r="I110" s="1"/>
    </row>
    <row r="111" spans="1:9" ht="15.75" customHeight="1" thickBot="1">
      <c r="A111" s="146"/>
      <c r="B111" s="135" t="s">
        <v>166</v>
      </c>
      <c r="C111" s="136" t="s">
        <v>167</v>
      </c>
      <c r="D111" s="86">
        <v>-50000</v>
      </c>
      <c r="E111" s="87" t="s">
        <v>168</v>
      </c>
      <c r="F111" s="86">
        <v>50000</v>
      </c>
      <c r="G111" s="120"/>
      <c r="H111" s="3"/>
      <c r="I111" s="1"/>
    </row>
    <row r="112" spans="1:9" ht="15.75" customHeight="1">
      <c r="A112" s="146"/>
      <c r="B112" s="145" t="s">
        <v>76</v>
      </c>
      <c r="C112" s="84"/>
      <c r="D112" s="81">
        <v>0</v>
      </c>
      <c r="E112" s="84" t="s">
        <v>90</v>
      </c>
      <c r="F112" s="81">
        <v>170000</v>
      </c>
      <c r="G112" s="1" t="e">
        <f>SUM(F112,#REF!,F25,F23)</f>
        <v>#REF!</v>
      </c>
      <c r="H112" s="1"/>
    </row>
    <row r="113" spans="1:9" ht="15.75" customHeight="1" thickBot="1">
      <c r="A113" s="147"/>
      <c r="B113" s="147"/>
      <c r="C113" s="85"/>
      <c r="D113" s="83">
        <v>0</v>
      </c>
      <c r="E113" s="96" t="s">
        <v>54</v>
      </c>
      <c r="F113" s="83">
        <v>55000</v>
      </c>
      <c r="G113" s="1"/>
      <c r="H113" s="1"/>
    </row>
    <row r="114" spans="1:9" ht="15.75" customHeight="1" thickBot="1">
      <c r="A114" s="93" t="s">
        <v>147</v>
      </c>
      <c r="B114" s="93" t="s">
        <v>148</v>
      </c>
      <c r="C114" s="84"/>
      <c r="D114" s="81">
        <v>0</v>
      </c>
      <c r="E114" s="84" t="s">
        <v>51</v>
      </c>
      <c r="F114" s="81">
        <v>12000</v>
      </c>
      <c r="G114" s="1">
        <f>SUM(F102:F113)</f>
        <v>1433576</v>
      </c>
      <c r="H114" s="1"/>
    </row>
    <row r="115" spans="1:9" ht="15.75" customHeight="1" thickBot="1">
      <c r="A115" s="93" t="s">
        <v>78</v>
      </c>
      <c r="B115" s="93" t="s">
        <v>79</v>
      </c>
      <c r="C115" s="94" t="s">
        <v>72</v>
      </c>
      <c r="D115" s="95">
        <v>-46272</v>
      </c>
      <c r="E115" s="94" t="s">
        <v>80</v>
      </c>
      <c r="F115" s="95">
        <v>46272</v>
      </c>
      <c r="G115" s="1">
        <f>SUM(D101:D113)</f>
        <v>-1446000</v>
      </c>
      <c r="H115" s="1"/>
    </row>
    <row r="116" spans="1:9" ht="18" customHeight="1" thickBot="1">
      <c r="A116" s="141" t="s">
        <v>3</v>
      </c>
      <c r="B116" s="142"/>
      <c r="C116" s="26"/>
      <c r="D116" s="75">
        <f>SUM(D8:D115)</f>
        <v>-132975769</v>
      </c>
      <c r="E116" s="22"/>
      <c r="F116" s="75">
        <f>SUM(F8:F115)</f>
        <v>46727689</v>
      </c>
      <c r="G116" s="1">
        <f>SUM(D116:F116)</f>
        <v>-86248080</v>
      </c>
      <c r="I116" s="6"/>
    </row>
    <row r="117" spans="1:9" ht="16.5" thickBot="1">
      <c r="A117" s="143" t="s">
        <v>2</v>
      </c>
      <c r="B117" s="144"/>
      <c r="C117" s="20"/>
      <c r="D117" s="76"/>
      <c r="E117" s="23"/>
      <c r="F117" s="76"/>
      <c r="G117" s="1"/>
      <c r="I117" s="6"/>
    </row>
    <row r="118" spans="1:9" ht="19.5" customHeight="1" thickBot="1">
      <c r="A118" s="139" t="s">
        <v>11</v>
      </c>
      <c r="B118" s="139"/>
      <c r="C118" s="14"/>
      <c r="D118" s="77">
        <f>SUM(D27:D28,D30:D35,D62:D63,D70,D77,D82:D100,D108,D111,D115)</f>
        <v>-2866058</v>
      </c>
      <c r="E118" s="24"/>
      <c r="F118" s="79">
        <f>SUM(F8:F16,F30:F34,F36:F61,F62:F69,F74:F75,F77,F80:F81,F102:F104,F106,F108:F109,F111,F114:F115)</f>
        <v>6421762</v>
      </c>
      <c r="G118" s="1"/>
      <c r="I118" s="6"/>
    </row>
    <row r="119" spans="1:9" ht="21.75" customHeight="1" thickBot="1">
      <c r="A119" s="137" t="s">
        <v>12</v>
      </c>
      <c r="B119" s="162"/>
      <c r="C119" s="21"/>
      <c r="D119" s="80">
        <f>SUM(D14:D18,D26,D29,D64:D65,D71:D72,D78:D80,D101:D102,D104,D109)</f>
        <v>-130109711</v>
      </c>
      <c r="E119" s="15"/>
      <c r="F119" s="80">
        <f>SUM(F17:F25,F35,F71,F73,F76,F78,F79,F105,F107,F110,F112,F113)</f>
        <v>40305927</v>
      </c>
      <c r="G119" s="3"/>
      <c r="H119" s="1"/>
    </row>
    <row r="120" spans="1:9" ht="15">
      <c r="A120" s="2"/>
      <c r="B120" s="5"/>
      <c r="C120" s="11"/>
      <c r="D120" s="10">
        <f>SUM(D118:D119)</f>
        <v>-132975769</v>
      </c>
      <c r="E120" s="10">
        <f>SUM(E118:E119)</f>
        <v>0</v>
      </c>
      <c r="F120" s="10">
        <f>SUM(F118:F119)</f>
        <v>46727689</v>
      </c>
      <c r="G120" s="3"/>
      <c r="H120" s="1"/>
    </row>
    <row r="121" spans="1:9" ht="15">
      <c r="A121" s="2"/>
      <c r="B121" s="4"/>
      <c r="C121" s="4"/>
      <c r="D121" s="10">
        <f>D116-D120</f>
        <v>0</v>
      </c>
      <c r="E121" s="10">
        <f>E116-E120</f>
        <v>0</v>
      </c>
      <c r="F121" s="10">
        <f>F116-F120</f>
        <v>0</v>
      </c>
      <c r="G121" s="2"/>
      <c r="H121" s="1"/>
    </row>
    <row r="122" spans="1:9" ht="15">
      <c r="A122" s="2"/>
      <c r="B122" s="2"/>
      <c r="C122" s="3"/>
      <c r="D122" s="10"/>
      <c r="E122" s="10"/>
      <c r="F122" s="10"/>
      <c r="G122" s="3"/>
    </row>
    <row r="123" spans="1:9">
      <c r="A123" s="2"/>
      <c r="B123" s="2"/>
      <c r="C123" s="9"/>
      <c r="D123" s="3"/>
      <c r="E123" s="3"/>
      <c r="F123" s="2"/>
      <c r="G123" s="2"/>
    </row>
    <row r="124" spans="1:9">
      <c r="A124" s="2"/>
      <c r="B124" s="2"/>
      <c r="C124" s="8"/>
      <c r="D124" s="8"/>
      <c r="E124" s="3"/>
      <c r="F124" s="2"/>
      <c r="G124" s="2"/>
    </row>
    <row r="125" spans="1:9" ht="198" customHeight="1">
      <c r="A125" s="161"/>
      <c r="B125" s="161"/>
      <c r="C125" s="161"/>
      <c r="D125" s="161"/>
      <c r="E125" s="161"/>
      <c r="F125" s="161"/>
      <c r="G125" s="2"/>
    </row>
    <row r="126" spans="1:9">
      <c r="A126" s="2"/>
      <c r="B126" s="2"/>
      <c r="C126" s="2"/>
      <c r="D126" s="2"/>
      <c r="E126" s="3"/>
      <c r="F126" s="2"/>
      <c r="G126" s="2"/>
    </row>
    <row r="127" spans="1:9">
      <c r="A127" s="2"/>
      <c r="B127" s="2"/>
      <c r="C127" s="8"/>
      <c r="D127" s="2"/>
      <c r="E127" s="2"/>
      <c r="F127" s="2"/>
      <c r="G127" s="2"/>
    </row>
  </sheetData>
  <mergeCells count="40">
    <mergeCell ref="A70:A74"/>
    <mergeCell ref="B70:B72"/>
    <mergeCell ref="A75:A78"/>
    <mergeCell ref="B24:B25"/>
    <mergeCell ref="A24:A25"/>
    <mergeCell ref="B62:B69"/>
    <mergeCell ref="A36:A69"/>
    <mergeCell ref="B36:B61"/>
    <mergeCell ref="B75:B76"/>
    <mergeCell ref="B77:B78"/>
    <mergeCell ref="A1:F1"/>
    <mergeCell ref="A3:F3"/>
    <mergeCell ref="A4:F4"/>
    <mergeCell ref="A5:F5"/>
    <mergeCell ref="A6:A7"/>
    <mergeCell ref="B6:B7"/>
    <mergeCell ref="C6:D6"/>
    <mergeCell ref="E6:F6"/>
    <mergeCell ref="B8:B11"/>
    <mergeCell ref="A8:A12"/>
    <mergeCell ref="B27:B29"/>
    <mergeCell ref="B31:B35"/>
    <mergeCell ref="A27:A35"/>
    <mergeCell ref="B14:B22"/>
    <mergeCell ref="A14:A22"/>
    <mergeCell ref="A125:F125"/>
    <mergeCell ref="A117:B117"/>
    <mergeCell ref="A118:B118"/>
    <mergeCell ref="A119:B119"/>
    <mergeCell ref="A116:B116"/>
    <mergeCell ref="B80:B81"/>
    <mergeCell ref="B108:B110"/>
    <mergeCell ref="B112:B113"/>
    <mergeCell ref="A101:A113"/>
    <mergeCell ref="B106:B107"/>
    <mergeCell ref="B82:B99"/>
    <mergeCell ref="A82:A99"/>
    <mergeCell ref="B102:B103"/>
    <mergeCell ref="B104:B105"/>
    <mergeCell ref="A79:A81"/>
  </mergeCells>
  <printOptions horizontalCentered="1"/>
  <pageMargins left="0.70866141732283472" right="0.51181102362204722" top="0.35433070866141736" bottom="0.74803149606299213" header="0.31496062992125984" footer="0.31496062992125984"/>
  <pageSetup paperSize="9" scale="95" fitToHeight="0" orientation="portrait" r:id="rId1"/>
  <rowBreaks count="2" manualBreakCount="2">
    <brk id="35" max="5" man="1"/>
    <brk id="8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  <pageSetUpPr fitToPage="1"/>
  </sheetPr>
  <dimension ref="A1:Q533"/>
  <sheetViews>
    <sheetView tabSelected="1" view="pageBreakPreview" zoomScaleNormal="100" zoomScaleSheetLayoutView="100" workbookViewId="0">
      <selection activeCell="B1" sqref="B1:D1"/>
    </sheetView>
  </sheetViews>
  <sheetFormatPr defaultRowHeight="12.75"/>
  <cols>
    <col min="1" max="1" width="5.125" style="28" customWidth="1"/>
    <col min="2" max="2" width="43.5" style="28" customWidth="1"/>
    <col min="3" max="4" width="12.75" style="28" customWidth="1"/>
    <col min="5" max="5" width="7.875" style="28" customWidth="1"/>
    <col min="6" max="256" width="9" style="28"/>
    <col min="257" max="257" width="5.125" style="28" customWidth="1"/>
    <col min="258" max="258" width="39.75" style="28" customWidth="1"/>
    <col min="259" max="260" width="12.75" style="28" customWidth="1"/>
    <col min="261" max="261" width="7.875" style="28" customWidth="1"/>
    <col min="262" max="512" width="9" style="28"/>
    <col min="513" max="513" width="5.125" style="28" customWidth="1"/>
    <col min="514" max="514" width="39.75" style="28" customWidth="1"/>
    <col min="515" max="516" width="12.75" style="28" customWidth="1"/>
    <col min="517" max="517" width="7.875" style="28" customWidth="1"/>
    <col min="518" max="768" width="9" style="28"/>
    <col min="769" max="769" width="5.125" style="28" customWidth="1"/>
    <col min="770" max="770" width="39.75" style="28" customWidth="1"/>
    <col min="771" max="772" width="12.75" style="28" customWidth="1"/>
    <col min="773" max="773" width="7.875" style="28" customWidth="1"/>
    <col min="774" max="1024" width="9" style="28"/>
    <col min="1025" max="1025" width="5.125" style="28" customWidth="1"/>
    <col min="1026" max="1026" width="39.75" style="28" customWidth="1"/>
    <col min="1027" max="1028" width="12.75" style="28" customWidth="1"/>
    <col min="1029" max="1029" width="7.875" style="28" customWidth="1"/>
    <col min="1030" max="1280" width="9" style="28"/>
    <col min="1281" max="1281" width="5.125" style="28" customWidth="1"/>
    <col min="1282" max="1282" width="39.75" style="28" customWidth="1"/>
    <col min="1283" max="1284" width="12.75" style="28" customWidth="1"/>
    <col min="1285" max="1285" width="7.875" style="28" customWidth="1"/>
    <col min="1286" max="1536" width="9" style="28"/>
    <col min="1537" max="1537" width="5.125" style="28" customWidth="1"/>
    <col min="1538" max="1538" width="39.75" style="28" customWidth="1"/>
    <col min="1539" max="1540" width="12.75" style="28" customWidth="1"/>
    <col min="1541" max="1541" width="7.875" style="28" customWidth="1"/>
    <col min="1542" max="1792" width="9" style="28"/>
    <col min="1793" max="1793" width="5.125" style="28" customWidth="1"/>
    <col min="1794" max="1794" width="39.75" style="28" customWidth="1"/>
    <col min="1795" max="1796" width="12.75" style="28" customWidth="1"/>
    <col min="1797" max="1797" width="7.875" style="28" customWidth="1"/>
    <col min="1798" max="2048" width="9" style="28"/>
    <col min="2049" max="2049" width="5.125" style="28" customWidth="1"/>
    <col min="2050" max="2050" width="39.75" style="28" customWidth="1"/>
    <col min="2051" max="2052" width="12.75" style="28" customWidth="1"/>
    <col min="2053" max="2053" width="7.875" style="28" customWidth="1"/>
    <col min="2054" max="2304" width="9" style="28"/>
    <col min="2305" max="2305" width="5.125" style="28" customWidth="1"/>
    <col min="2306" max="2306" width="39.75" style="28" customWidth="1"/>
    <col min="2307" max="2308" width="12.75" style="28" customWidth="1"/>
    <col min="2309" max="2309" width="7.875" style="28" customWidth="1"/>
    <col min="2310" max="2560" width="9" style="28"/>
    <col min="2561" max="2561" width="5.125" style="28" customWidth="1"/>
    <col min="2562" max="2562" width="39.75" style="28" customWidth="1"/>
    <col min="2563" max="2564" width="12.75" style="28" customWidth="1"/>
    <col min="2565" max="2565" width="7.875" style="28" customWidth="1"/>
    <col min="2566" max="2816" width="9" style="28"/>
    <col min="2817" max="2817" width="5.125" style="28" customWidth="1"/>
    <col min="2818" max="2818" width="39.75" style="28" customWidth="1"/>
    <col min="2819" max="2820" width="12.75" style="28" customWidth="1"/>
    <col min="2821" max="2821" width="7.875" style="28" customWidth="1"/>
    <col min="2822" max="3072" width="9" style="28"/>
    <col min="3073" max="3073" width="5.125" style="28" customWidth="1"/>
    <col min="3074" max="3074" width="39.75" style="28" customWidth="1"/>
    <col min="3075" max="3076" width="12.75" style="28" customWidth="1"/>
    <col min="3077" max="3077" width="7.875" style="28" customWidth="1"/>
    <col min="3078" max="3328" width="9" style="28"/>
    <col min="3329" max="3329" width="5.125" style="28" customWidth="1"/>
    <col min="3330" max="3330" width="39.75" style="28" customWidth="1"/>
    <col min="3331" max="3332" width="12.75" style="28" customWidth="1"/>
    <col min="3333" max="3333" width="7.875" style="28" customWidth="1"/>
    <col min="3334" max="3584" width="9" style="28"/>
    <col min="3585" max="3585" width="5.125" style="28" customWidth="1"/>
    <col min="3586" max="3586" width="39.75" style="28" customWidth="1"/>
    <col min="3587" max="3588" width="12.75" style="28" customWidth="1"/>
    <col min="3589" max="3589" width="7.875" style="28" customWidth="1"/>
    <col min="3590" max="3840" width="9" style="28"/>
    <col min="3841" max="3841" width="5.125" style="28" customWidth="1"/>
    <col min="3842" max="3842" width="39.75" style="28" customWidth="1"/>
    <col min="3843" max="3844" width="12.75" style="28" customWidth="1"/>
    <col min="3845" max="3845" width="7.875" style="28" customWidth="1"/>
    <col min="3846" max="4096" width="9" style="28"/>
    <col min="4097" max="4097" width="5.125" style="28" customWidth="1"/>
    <col min="4098" max="4098" width="39.75" style="28" customWidth="1"/>
    <col min="4099" max="4100" width="12.75" style="28" customWidth="1"/>
    <col min="4101" max="4101" width="7.875" style="28" customWidth="1"/>
    <col min="4102" max="4352" width="9" style="28"/>
    <col min="4353" max="4353" width="5.125" style="28" customWidth="1"/>
    <col min="4354" max="4354" width="39.75" style="28" customWidth="1"/>
    <col min="4355" max="4356" width="12.75" style="28" customWidth="1"/>
    <col min="4357" max="4357" width="7.875" style="28" customWidth="1"/>
    <col min="4358" max="4608" width="9" style="28"/>
    <col min="4609" max="4609" width="5.125" style="28" customWidth="1"/>
    <col min="4610" max="4610" width="39.75" style="28" customWidth="1"/>
    <col min="4611" max="4612" width="12.75" style="28" customWidth="1"/>
    <col min="4613" max="4613" width="7.875" style="28" customWidth="1"/>
    <col min="4614" max="4864" width="9" style="28"/>
    <col min="4865" max="4865" width="5.125" style="28" customWidth="1"/>
    <col min="4866" max="4866" width="39.75" style="28" customWidth="1"/>
    <col min="4867" max="4868" width="12.75" style="28" customWidth="1"/>
    <col min="4869" max="4869" width="7.875" style="28" customWidth="1"/>
    <col min="4870" max="5120" width="9" style="28"/>
    <col min="5121" max="5121" width="5.125" style="28" customWidth="1"/>
    <col min="5122" max="5122" width="39.75" style="28" customWidth="1"/>
    <col min="5123" max="5124" width="12.75" style="28" customWidth="1"/>
    <col min="5125" max="5125" width="7.875" style="28" customWidth="1"/>
    <col min="5126" max="5376" width="9" style="28"/>
    <col min="5377" max="5377" width="5.125" style="28" customWidth="1"/>
    <col min="5378" max="5378" width="39.75" style="28" customWidth="1"/>
    <col min="5379" max="5380" width="12.75" style="28" customWidth="1"/>
    <col min="5381" max="5381" width="7.875" style="28" customWidth="1"/>
    <col min="5382" max="5632" width="9" style="28"/>
    <col min="5633" max="5633" width="5.125" style="28" customWidth="1"/>
    <col min="5634" max="5634" width="39.75" style="28" customWidth="1"/>
    <col min="5635" max="5636" width="12.75" style="28" customWidth="1"/>
    <col min="5637" max="5637" width="7.875" style="28" customWidth="1"/>
    <col min="5638" max="5888" width="9" style="28"/>
    <col min="5889" max="5889" width="5.125" style="28" customWidth="1"/>
    <col min="5890" max="5890" width="39.75" style="28" customWidth="1"/>
    <col min="5891" max="5892" width="12.75" style="28" customWidth="1"/>
    <col min="5893" max="5893" width="7.875" style="28" customWidth="1"/>
    <col min="5894" max="6144" width="9" style="28"/>
    <col min="6145" max="6145" width="5.125" style="28" customWidth="1"/>
    <col min="6146" max="6146" width="39.75" style="28" customWidth="1"/>
    <col min="6147" max="6148" width="12.75" style="28" customWidth="1"/>
    <col min="6149" max="6149" width="7.875" style="28" customWidth="1"/>
    <col min="6150" max="6400" width="9" style="28"/>
    <col min="6401" max="6401" width="5.125" style="28" customWidth="1"/>
    <col min="6402" max="6402" width="39.75" style="28" customWidth="1"/>
    <col min="6403" max="6404" width="12.75" style="28" customWidth="1"/>
    <col min="6405" max="6405" width="7.875" style="28" customWidth="1"/>
    <col min="6406" max="6656" width="9" style="28"/>
    <col min="6657" max="6657" width="5.125" style="28" customWidth="1"/>
    <col min="6658" max="6658" width="39.75" style="28" customWidth="1"/>
    <col min="6659" max="6660" width="12.75" style="28" customWidth="1"/>
    <col min="6661" max="6661" width="7.875" style="28" customWidth="1"/>
    <col min="6662" max="6912" width="9" style="28"/>
    <col min="6913" max="6913" width="5.125" style="28" customWidth="1"/>
    <col min="6914" max="6914" width="39.75" style="28" customWidth="1"/>
    <col min="6915" max="6916" width="12.75" style="28" customWidth="1"/>
    <col min="6917" max="6917" width="7.875" style="28" customWidth="1"/>
    <col min="6918" max="7168" width="9" style="28"/>
    <col min="7169" max="7169" width="5.125" style="28" customWidth="1"/>
    <col min="7170" max="7170" width="39.75" style="28" customWidth="1"/>
    <col min="7171" max="7172" width="12.75" style="28" customWidth="1"/>
    <col min="7173" max="7173" width="7.875" style="28" customWidth="1"/>
    <col min="7174" max="7424" width="9" style="28"/>
    <col min="7425" max="7425" width="5.125" style="28" customWidth="1"/>
    <col min="7426" max="7426" width="39.75" style="28" customWidth="1"/>
    <col min="7427" max="7428" width="12.75" style="28" customWidth="1"/>
    <col min="7429" max="7429" width="7.875" style="28" customWidth="1"/>
    <col min="7430" max="7680" width="9" style="28"/>
    <col min="7681" max="7681" width="5.125" style="28" customWidth="1"/>
    <col min="7682" max="7682" width="39.75" style="28" customWidth="1"/>
    <col min="7683" max="7684" width="12.75" style="28" customWidth="1"/>
    <col min="7685" max="7685" width="7.875" style="28" customWidth="1"/>
    <col min="7686" max="7936" width="9" style="28"/>
    <col min="7937" max="7937" width="5.125" style="28" customWidth="1"/>
    <col min="7938" max="7938" width="39.75" style="28" customWidth="1"/>
    <col min="7939" max="7940" width="12.75" style="28" customWidth="1"/>
    <col min="7941" max="7941" width="7.875" style="28" customWidth="1"/>
    <col min="7942" max="8192" width="9" style="28"/>
    <col min="8193" max="8193" width="5.125" style="28" customWidth="1"/>
    <col min="8194" max="8194" width="39.75" style="28" customWidth="1"/>
    <col min="8195" max="8196" width="12.75" style="28" customWidth="1"/>
    <col min="8197" max="8197" width="7.875" style="28" customWidth="1"/>
    <col min="8198" max="8448" width="9" style="28"/>
    <col min="8449" max="8449" width="5.125" style="28" customWidth="1"/>
    <col min="8450" max="8450" width="39.75" style="28" customWidth="1"/>
    <col min="8451" max="8452" width="12.75" style="28" customWidth="1"/>
    <col min="8453" max="8453" width="7.875" style="28" customWidth="1"/>
    <col min="8454" max="8704" width="9" style="28"/>
    <col min="8705" max="8705" width="5.125" style="28" customWidth="1"/>
    <col min="8706" max="8706" width="39.75" style="28" customWidth="1"/>
    <col min="8707" max="8708" width="12.75" style="28" customWidth="1"/>
    <col min="8709" max="8709" width="7.875" style="28" customWidth="1"/>
    <col min="8710" max="8960" width="9" style="28"/>
    <col min="8961" max="8961" width="5.125" style="28" customWidth="1"/>
    <col min="8962" max="8962" width="39.75" style="28" customWidth="1"/>
    <col min="8963" max="8964" width="12.75" style="28" customWidth="1"/>
    <col min="8965" max="8965" width="7.875" style="28" customWidth="1"/>
    <col min="8966" max="9216" width="9" style="28"/>
    <col min="9217" max="9217" width="5.125" style="28" customWidth="1"/>
    <col min="9218" max="9218" width="39.75" style="28" customWidth="1"/>
    <col min="9219" max="9220" width="12.75" style="28" customWidth="1"/>
    <col min="9221" max="9221" width="7.875" style="28" customWidth="1"/>
    <col min="9222" max="9472" width="9" style="28"/>
    <col min="9473" max="9473" width="5.125" style="28" customWidth="1"/>
    <col min="9474" max="9474" width="39.75" style="28" customWidth="1"/>
    <col min="9475" max="9476" width="12.75" style="28" customWidth="1"/>
    <col min="9477" max="9477" width="7.875" style="28" customWidth="1"/>
    <col min="9478" max="9728" width="9" style="28"/>
    <col min="9729" max="9729" width="5.125" style="28" customWidth="1"/>
    <col min="9730" max="9730" width="39.75" style="28" customWidth="1"/>
    <col min="9731" max="9732" width="12.75" style="28" customWidth="1"/>
    <col min="9733" max="9733" width="7.875" style="28" customWidth="1"/>
    <col min="9734" max="9984" width="9" style="28"/>
    <col min="9985" max="9985" width="5.125" style="28" customWidth="1"/>
    <col min="9986" max="9986" width="39.75" style="28" customWidth="1"/>
    <col min="9987" max="9988" width="12.75" style="28" customWidth="1"/>
    <col min="9989" max="9989" width="7.875" style="28" customWidth="1"/>
    <col min="9990" max="10240" width="9" style="28"/>
    <col min="10241" max="10241" width="5.125" style="28" customWidth="1"/>
    <col min="10242" max="10242" width="39.75" style="28" customWidth="1"/>
    <col min="10243" max="10244" width="12.75" style="28" customWidth="1"/>
    <col min="10245" max="10245" width="7.875" style="28" customWidth="1"/>
    <col min="10246" max="10496" width="9" style="28"/>
    <col min="10497" max="10497" width="5.125" style="28" customWidth="1"/>
    <col min="10498" max="10498" width="39.75" style="28" customWidth="1"/>
    <col min="10499" max="10500" width="12.75" style="28" customWidth="1"/>
    <col min="10501" max="10501" width="7.875" style="28" customWidth="1"/>
    <col min="10502" max="10752" width="9" style="28"/>
    <col min="10753" max="10753" width="5.125" style="28" customWidth="1"/>
    <col min="10754" max="10754" width="39.75" style="28" customWidth="1"/>
    <col min="10755" max="10756" width="12.75" style="28" customWidth="1"/>
    <col min="10757" max="10757" width="7.875" style="28" customWidth="1"/>
    <col min="10758" max="11008" width="9" style="28"/>
    <col min="11009" max="11009" width="5.125" style="28" customWidth="1"/>
    <col min="11010" max="11010" width="39.75" style="28" customWidth="1"/>
    <col min="11011" max="11012" width="12.75" style="28" customWidth="1"/>
    <col min="11013" max="11013" width="7.875" style="28" customWidth="1"/>
    <col min="11014" max="11264" width="9" style="28"/>
    <col min="11265" max="11265" width="5.125" style="28" customWidth="1"/>
    <col min="11266" max="11266" width="39.75" style="28" customWidth="1"/>
    <col min="11267" max="11268" width="12.75" style="28" customWidth="1"/>
    <col min="11269" max="11269" width="7.875" style="28" customWidth="1"/>
    <col min="11270" max="11520" width="9" style="28"/>
    <col min="11521" max="11521" width="5.125" style="28" customWidth="1"/>
    <col min="11522" max="11522" width="39.75" style="28" customWidth="1"/>
    <col min="11523" max="11524" width="12.75" style="28" customWidth="1"/>
    <col min="11525" max="11525" width="7.875" style="28" customWidth="1"/>
    <col min="11526" max="11776" width="9" style="28"/>
    <col min="11777" max="11777" width="5.125" style="28" customWidth="1"/>
    <col min="11778" max="11778" width="39.75" style="28" customWidth="1"/>
    <col min="11779" max="11780" width="12.75" style="28" customWidth="1"/>
    <col min="11781" max="11781" width="7.875" style="28" customWidth="1"/>
    <col min="11782" max="12032" width="9" style="28"/>
    <col min="12033" max="12033" width="5.125" style="28" customWidth="1"/>
    <col min="12034" max="12034" width="39.75" style="28" customWidth="1"/>
    <col min="12035" max="12036" width="12.75" style="28" customWidth="1"/>
    <col min="12037" max="12037" width="7.875" style="28" customWidth="1"/>
    <col min="12038" max="12288" width="9" style="28"/>
    <col min="12289" max="12289" width="5.125" style="28" customWidth="1"/>
    <col min="12290" max="12290" width="39.75" style="28" customWidth="1"/>
    <col min="12291" max="12292" width="12.75" style="28" customWidth="1"/>
    <col min="12293" max="12293" width="7.875" style="28" customWidth="1"/>
    <col min="12294" max="12544" width="9" style="28"/>
    <col min="12545" max="12545" width="5.125" style="28" customWidth="1"/>
    <col min="12546" max="12546" width="39.75" style="28" customWidth="1"/>
    <col min="12547" max="12548" width="12.75" style="28" customWidth="1"/>
    <col min="12549" max="12549" width="7.875" style="28" customWidth="1"/>
    <col min="12550" max="12800" width="9" style="28"/>
    <col min="12801" max="12801" width="5.125" style="28" customWidth="1"/>
    <col min="12802" max="12802" width="39.75" style="28" customWidth="1"/>
    <col min="12803" max="12804" width="12.75" style="28" customWidth="1"/>
    <col min="12805" max="12805" width="7.875" style="28" customWidth="1"/>
    <col min="12806" max="13056" width="9" style="28"/>
    <col min="13057" max="13057" width="5.125" style="28" customWidth="1"/>
    <col min="13058" max="13058" width="39.75" style="28" customWidth="1"/>
    <col min="13059" max="13060" width="12.75" style="28" customWidth="1"/>
    <col min="13061" max="13061" width="7.875" style="28" customWidth="1"/>
    <col min="13062" max="13312" width="9" style="28"/>
    <col min="13313" max="13313" width="5.125" style="28" customWidth="1"/>
    <col min="13314" max="13314" width="39.75" style="28" customWidth="1"/>
    <col min="13315" max="13316" width="12.75" style="28" customWidth="1"/>
    <col min="13317" max="13317" width="7.875" style="28" customWidth="1"/>
    <col min="13318" max="13568" width="9" style="28"/>
    <col min="13569" max="13569" width="5.125" style="28" customWidth="1"/>
    <col min="13570" max="13570" width="39.75" style="28" customWidth="1"/>
    <col min="13571" max="13572" width="12.75" style="28" customWidth="1"/>
    <col min="13573" max="13573" width="7.875" style="28" customWidth="1"/>
    <col min="13574" max="13824" width="9" style="28"/>
    <col min="13825" max="13825" width="5.125" style="28" customWidth="1"/>
    <col min="13826" max="13826" width="39.75" style="28" customWidth="1"/>
    <col min="13827" max="13828" width="12.75" style="28" customWidth="1"/>
    <col min="13829" max="13829" width="7.875" style="28" customWidth="1"/>
    <col min="13830" max="14080" width="9" style="28"/>
    <col min="14081" max="14081" width="5.125" style="28" customWidth="1"/>
    <col min="14082" max="14082" width="39.75" style="28" customWidth="1"/>
    <col min="14083" max="14084" width="12.75" style="28" customWidth="1"/>
    <col min="14085" max="14085" width="7.875" style="28" customWidth="1"/>
    <col min="14086" max="14336" width="9" style="28"/>
    <col min="14337" max="14337" width="5.125" style="28" customWidth="1"/>
    <col min="14338" max="14338" width="39.75" style="28" customWidth="1"/>
    <col min="14339" max="14340" width="12.75" style="28" customWidth="1"/>
    <col min="14341" max="14341" width="7.875" style="28" customWidth="1"/>
    <col min="14342" max="14592" width="9" style="28"/>
    <col min="14593" max="14593" width="5.125" style="28" customWidth="1"/>
    <col min="14594" max="14594" width="39.75" style="28" customWidth="1"/>
    <col min="14595" max="14596" width="12.75" style="28" customWidth="1"/>
    <col min="14597" max="14597" width="7.875" style="28" customWidth="1"/>
    <col min="14598" max="14848" width="9" style="28"/>
    <col min="14849" max="14849" width="5.125" style="28" customWidth="1"/>
    <col min="14850" max="14850" width="39.75" style="28" customWidth="1"/>
    <col min="14851" max="14852" width="12.75" style="28" customWidth="1"/>
    <col min="14853" max="14853" width="7.875" style="28" customWidth="1"/>
    <col min="14854" max="15104" width="9" style="28"/>
    <col min="15105" max="15105" width="5.125" style="28" customWidth="1"/>
    <col min="15106" max="15106" width="39.75" style="28" customWidth="1"/>
    <col min="15107" max="15108" width="12.75" style="28" customWidth="1"/>
    <col min="15109" max="15109" width="7.875" style="28" customWidth="1"/>
    <col min="15110" max="15360" width="9" style="28"/>
    <col min="15361" max="15361" width="5.125" style="28" customWidth="1"/>
    <col min="15362" max="15362" width="39.75" style="28" customWidth="1"/>
    <col min="15363" max="15364" width="12.75" style="28" customWidth="1"/>
    <col min="15365" max="15365" width="7.875" style="28" customWidth="1"/>
    <col min="15366" max="15616" width="9" style="28"/>
    <col min="15617" max="15617" width="5.125" style="28" customWidth="1"/>
    <col min="15618" max="15618" width="39.75" style="28" customWidth="1"/>
    <col min="15619" max="15620" width="12.75" style="28" customWidth="1"/>
    <col min="15621" max="15621" width="7.875" style="28" customWidth="1"/>
    <col min="15622" max="15872" width="9" style="28"/>
    <col min="15873" max="15873" width="5.125" style="28" customWidth="1"/>
    <col min="15874" max="15874" width="39.75" style="28" customWidth="1"/>
    <col min="15875" max="15876" width="12.75" style="28" customWidth="1"/>
    <col min="15877" max="15877" width="7.875" style="28" customWidth="1"/>
    <col min="15878" max="16128" width="9" style="28"/>
    <col min="16129" max="16129" width="5.125" style="28" customWidth="1"/>
    <col min="16130" max="16130" width="39.75" style="28" customWidth="1"/>
    <col min="16131" max="16132" width="12.75" style="28" customWidth="1"/>
    <col min="16133" max="16133" width="7.875" style="28" customWidth="1"/>
    <col min="16134" max="16384" width="9" style="28"/>
  </cols>
  <sheetData>
    <row r="1" spans="1:5" ht="76.5" customHeight="1">
      <c r="A1" s="27"/>
      <c r="B1" s="177" t="s">
        <v>172</v>
      </c>
      <c r="C1" s="177"/>
      <c r="D1" s="177"/>
    </row>
    <row r="2" spans="1:5" ht="63" customHeight="1" thickBot="1">
      <c r="A2" s="178" t="s">
        <v>17</v>
      </c>
      <c r="B2" s="178"/>
      <c r="C2" s="178"/>
      <c r="D2" s="178"/>
    </row>
    <row r="3" spans="1:5" ht="22.5" customHeight="1" thickBot="1">
      <c r="A3" s="29" t="s">
        <v>18</v>
      </c>
      <c r="B3" s="113" t="s">
        <v>19</v>
      </c>
      <c r="C3" s="29" t="s">
        <v>20</v>
      </c>
      <c r="D3" s="31" t="s">
        <v>21</v>
      </c>
    </row>
    <row r="4" spans="1:5" ht="15" customHeight="1" thickBot="1">
      <c r="A4" s="113"/>
      <c r="B4" s="114" t="s">
        <v>156</v>
      </c>
      <c r="C4" s="125">
        <f>SUM(C5,C8,C14,C16)</f>
        <v>2042864</v>
      </c>
      <c r="D4" s="125">
        <f>SUM(D5,D8,D14,D16)</f>
        <v>2042864</v>
      </c>
    </row>
    <row r="5" spans="1:5" ht="15" customHeight="1" thickBot="1">
      <c r="A5" s="173" t="s">
        <v>22</v>
      </c>
      <c r="B5" s="174"/>
      <c r="C5" s="32">
        <f>SUM(C6:C7)</f>
        <v>23020</v>
      </c>
      <c r="D5" s="33">
        <f>SUM(D6:D7)</f>
        <v>23020</v>
      </c>
    </row>
    <row r="6" spans="1:5" ht="26.25" customHeight="1">
      <c r="A6" s="34">
        <v>1</v>
      </c>
      <c r="B6" s="126" t="s">
        <v>157</v>
      </c>
      <c r="C6" s="36">
        <f>20+20000</f>
        <v>20020</v>
      </c>
      <c r="D6" s="37">
        <f>20+20000</f>
        <v>20020</v>
      </c>
      <c r="E6" s="38"/>
    </row>
    <row r="7" spans="1:5" ht="15" customHeight="1" thickBot="1">
      <c r="A7" s="39">
        <v>2</v>
      </c>
      <c r="B7" s="40" t="s">
        <v>158</v>
      </c>
      <c r="C7" s="41">
        <v>3000</v>
      </c>
      <c r="D7" s="42">
        <v>3000</v>
      </c>
      <c r="E7" s="38"/>
    </row>
    <row r="8" spans="1:5" ht="15" customHeight="1" thickBot="1">
      <c r="A8" s="173" t="s">
        <v>25</v>
      </c>
      <c r="B8" s="174"/>
      <c r="C8" s="43">
        <f>SUM(C9:C13)</f>
        <v>386679</v>
      </c>
      <c r="D8" s="44">
        <f>SUM(D9:D13)</f>
        <v>386679</v>
      </c>
      <c r="E8" s="38"/>
    </row>
    <row r="9" spans="1:5" ht="27" customHeight="1">
      <c r="A9" s="45">
        <v>1</v>
      </c>
      <c r="B9" s="46" t="s">
        <v>26</v>
      </c>
      <c r="C9" s="47">
        <f>62000+10000</f>
        <v>72000</v>
      </c>
      <c r="D9" s="48">
        <f>62000+10000</f>
        <v>72000</v>
      </c>
      <c r="E9" s="38"/>
    </row>
    <row r="10" spans="1:5" ht="27" customHeight="1">
      <c r="A10" s="49">
        <v>2</v>
      </c>
      <c r="B10" s="50" t="s">
        <v>27</v>
      </c>
      <c r="C10" s="51">
        <f>23116+4000</f>
        <v>27116</v>
      </c>
      <c r="D10" s="52">
        <f>23116+4000</f>
        <v>27116</v>
      </c>
      <c r="E10" s="38"/>
    </row>
    <row r="11" spans="1:5" ht="27" customHeight="1">
      <c r="A11" s="49">
        <v>3</v>
      </c>
      <c r="B11" s="50" t="s">
        <v>28</v>
      </c>
      <c r="C11" s="51">
        <f>500+1000</f>
        <v>1500</v>
      </c>
      <c r="D11" s="52">
        <f>500+1000</f>
        <v>1500</v>
      </c>
      <c r="E11" s="38"/>
    </row>
    <row r="12" spans="1:5" ht="27" customHeight="1">
      <c r="A12" s="49">
        <v>4</v>
      </c>
      <c r="B12" s="50" t="s">
        <v>30</v>
      </c>
      <c r="C12" s="51">
        <f>37600+40000+5000</f>
        <v>82600</v>
      </c>
      <c r="D12" s="52">
        <f>37600+40000+5000</f>
        <v>82600</v>
      </c>
      <c r="E12" s="38"/>
    </row>
    <row r="13" spans="1:5" s="55" customFormat="1" ht="27.75" customHeight="1" thickBot="1">
      <c r="A13" s="39">
        <v>5</v>
      </c>
      <c r="B13" s="53" t="s">
        <v>32</v>
      </c>
      <c r="C13" s="41">
        <f>168463+5000+30000</f>
        <v>203463</v>
      </c>
      <c r="D13" s="42">
        <f>168463+5000+30000</f>
        <v>203463</v>
      </c>
      <c r="E13" s="38"/>
    </row>
    <row r="14" spans="1:5" ht="15" customHeight="1" thickBot="1">
      <c r="A14" s="173" t="s">
        <v>33</v>
      </c>
      <c r="B14" s="174"/>
      <c r="C14" s="43">
        <f>SUM(C15)</f>
        <v>1305918</v>
      </c>
      <c r="D14" s="44">
        <f>SUM(D15)</f>
        <v>1305918</v>
      </c>
      <c r="E14" s="38"/>
    </row>
    <row r="15" spans="1:5" ht="15.75" customHeight="1" thickBot="1">
      <c r="A15" s="127">
        <v>1</v>
      </c>
      <c r="B15" s="128" t="s">
        <v>159</v>
      </c>
      <c r="C15" s="36">
        <f>1302904+3014</f>
        <v>1305918</v>
      </c>
      <c r="D15" s="37">
        <f>1302904+3014</f>
        <v>1305918</v>
      </c>
      <c r="E15" s="38"/>
    </row>
    <row r="16" spans="1:5" ht="15" customHeight="1" thickBot="1">
      <c r="A16" s="173" t="s">
        <v>35</v>
      </c>
      <c r="B16" s="174"/>
      <c r="C16" s="43">
        <f>SUM(C17:C20)</f>
        <v>327247</v>
      </c>
      <c r="D16" s="44">
        <f>SUM(D17:D20)</f>
        <v>327247</v>
      </c>
      <c r="E16" s="38"/>
    </row>
    <row r="17" spans="1:5" ht="15" customHeight="1">
      <c r="A17" s="45">
        <v>1</v>
      </c>
      <c r="B17" s="128" t="s">
        <v>159</v>
      </c>
      <c r="C17" s="47">
        <v>71000</v>
      </c>
      <c r="D17" s="47">
        <v>71000</v>
      </c>
      <c r="E17" s="38"/>
    </row>
    <row r="18" spans="1:5" s="55" customFormat="1" ht="15" customHeight="1">
      <c r="A18" s="49">
        <v>2</v>
      </c>
      <c r="B18" s="59" t="s">
        <v>160</v>
      </c>
      <c r="C18" s="51">
        <f>25100+40</f>
        <v>25140</v>
      </c>
      <c r="D18" s="51">
        <f>25100+40</f>
        <v>25140</v>
      </c>
      <c r="E18" s="60"/>
    </row>
    <row r="19" spans="1:5" ht="15" customHeight="1">
      <c r="A19" s="49">
        <v>3</v>
      </c>
      <c r="B19" s="59" t="s">
        <v>161</v>
      </c>
      <c r="C19" s="51">
        <f>180000+20000+3000</f>
        <v>203000</v>
      </c>
      <c r="D19" s="51">
        <f>180000+20000+3000</f>
        <v>203000</v>
      </c>
      <c r="E19" s="38"/>
    </row>
    <row r="20" spans="1:5" ht="15" customHeight="1" thickBot="1">
      <c r="A20" s="39">
        <v>4</v>
      </c>
      <c r="B20" s="61" t="s">
        <v>162</v>
      </c>
      <c r="C20" s="41">
        <f>26100+2007</f>
        <v>28107</v>
      </c>
      <c r="D20" s="41">
        <f>26100+2007</f>
        <v>28107</v>
      </c>
      <c r="E20" s="38"/>
    </row>
    <row r="21" spans="1:5" ht="15" customHeight="1" thickBot="1">
      <c r="A21" s="113"/>
      <c r="B21" s="114" t="s">
        <v>163</v>
      </c>
      <c r="C21" s="125">
        <f>SUM(C22,C24)</f>
        <v>1550821</v>
      </c>
      <c r="D21" s="125">
        <f>SUM(D22,D24)</f>
        <v>1550821</v>
      </c>
      <c r="E21" s="38"/>
    </row>
    <row r="22" spans="1:5" ht="15" customHeight="1" thickBot="1">
      <c r="A22" s="173" t="s">
        <v>40</v>
      </c>
      <c r="B22" s="174"/>
      <c r="C22" s="43">
        <f>SUM(C23:C23)</f>
        <v>308568</v>
      </c>
      <c r="D22" s="44">
        <f>SUM(D23:D23)</f>
        <v>308568</v>
      </c>
      <c r="E22" s="38"/>
    </row>
    <row r="23" spans="1:5" ht="29.25" customHeight="1" thickBot="1">
      <c r="A23" s="62">
        <v>1</v>
      </c>
      <c r="B23" s="63" t="s">
        <v>32</v>
      </c>
      <c r="C23" s="36">
        <f>300500+8068</f>
        <v>308568</v>
      </c>
      <c r="D23" s="36">
        <f>300500+8068</f>
        <v>308568</v>
      </c>
      <c r="E23" s="38"/>
    </row>
    <row r="24" spans="1:5" ht="15" customHeight="1" thickBot="1">
      <c r="A24" s="173" t="s">
        <v>164</v>
      </c>
      <c r="B24" s="174"/>
      <c r="C24" s="43">
        <f>SUM(C25:C25)</f>
        <v>1242253</v>
      </c>
      <c r="D24" s="44">
        <f>SUM(D25:D25)</f>
        <v>1242253</v>
      </c>
      <c r="E24" s="38"/>
    </row>
    <row r="25" spans="1:5" ht="17.25" customHeight="1" thickBot="1">
      <c r="A25" s="62">
        <v>1</v>
      </c>
      <c r="B25" s="128" t="s">
        <v>159</v>
      </c>
      <c r="C25" s="36">
        <f>342253+200000+700000</f>
        <v>1242253</v>
      </c>
      <c r="D25" s="36">
        <f>342253+200000+700000</f>
        <v>1242253</v>
      </c>
      <c r="E25" s="38"/>
    </row>
    <row r="26" spans="1:5" ht="24" customHeight="1" thickBot="1">
      <c r="A26" s="175" t="s">
        <v>42</v>
      </c>
      <c r="B26" s="176"/>
      <c r="C26" s="64">
        <f>SUM(C4,C21)</f>
        <v>3593685</v>
      </c>
      <c r="D26" s="64">
        <f>SUM(D4,D21)</f>
        <v>3593685</v>
      </c>
      <c r="E26" s="38"/>
    </row>
    <row r="27" spans="1:5" ht="12.75" customHeight="1">
      <c r="A27" s="129"/>
      <c r="B27" s="129"/>
      <c r="C27" s="130"/>
      <c r="D27" s="130"/>
    </row>
    <row r="29" spans="1:5">
      <c r="A29" s="131"/>
      <c r="B29" s="132"/>
      <c r="C29" s="133"/>
      <c r="D29" s="133"/>
    </row>
    <row r="533" spans="17:17">
      <c r="Q533" s="28">
        <f>P533-O533</f>
        <v>0</v>
      </c>
    </row>
  </sheetData>
  <mergeCells count="9">
    <mergeCell ref="A22:B22"/>
    <mergeCell ref="A24:B24"/>
    <mergeCell ref="A26:B26"/>
    <mergeCell ref="B1:D1"/>
    <mergeCell ref="A2:D2"/>
    <mergeCell ref="A5:B5"/>
    <mergeCell ref="A8:B8"/>
    <mergeCell ref="A14:B14"/>
    <mergeCell ref="A16:B16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E27"/>
  <sheetViews>
    <sheetView view="pageBreakPreview" topLeftCell="A3" zoomScaleNormal="100" zoomScaleSheetLayoutView="100" workbookViewId="0">
      <selection activeCell="P11" sqref="P11"/>
    </sheetView>
  </sheetViews>
  <sheetFormatPr defaultRowHeight="12.75"/>
  <cols>
    <col min="1" max="1" width="5.125" style="28" customWidth="1"/>
    <col min="2" max="2" width="43.5" style="28" customWidth="1"/>
    <col min="3" max="4" width="12.75" style="28" customWidth="1"/>
    <col min="5" max="5" width="7.875" style="28" customWidth="1"/>
    <col min="6" max="256" width="9" style="28"/>
    <col min="257" max="257" width="5.125" style="28" customWidth="1"/>
    <col min="258" max="258" width="39.75" style="28" customWidth="1"/>
    <col min="259" max="260" width="12.75" style="28" customWidth="1"/>
    <col min="261" max="261" width="7.875" style="28" customWidth="1"/>
    <col min="262" max="512" width="9" style="28"/>
    <col min="513" max="513" width="5.125" style="28" customWidth="1"/>
    <col min="514" max="514" width="39.75" style="28" customWidth="1"/>
    <col min="515" max="516" width="12.75" style="28" customWidth="1"/>
    <col min="517" max="517" width="7.875" style="28" customWidth="1"/>
    <col min="518" max="768" width="9" style="28"/>
    <col min="769" max="769" width="5.125" style="28" customWidth="1"/>
    <col min="770" max="770" width="39.75" style="28" customWidth="1"/>
    <col min="771" max="772" width="12.75" style="28" customWidth="1"/>
    <col min="773" max="773" width="7.875" style="28" customWidth="1"/>
    <col min="774" max="1024" width="9" style="28"/>
    <col min="1025" max="1025" width="5.125" style="28" customWidth="1"/>
    <col min="1026" max="1026" width="39.75" style="28" customWidth="1"/>
    <col min="1027" max="1028" width="12.75" style="28" customWidth="1"/>
    <col min="1029" max="1029" width="7.875" style="28" customWidth="1"/>
    <col min="1030" max="1280" width="9" style="28"/>
    <col min="1281" max="1281" width="5.125" style="28" customWidth="1"/>
    <col min="1282" max="1282" width="39.75" style="28" customWidth="1"/>
    <col min="1283" max="1284" width="12.75" style="28" customWidth="1"/>
    <col min="1285" max="1285" width="7.875" style="28" customWidth="1"/>
    <col min="1286" max="1536" width="9" style="28"/>
    <col min="1537" max="1537" width="5.125" style="28" customWidth="1"/>
    <col min="1538" max="1538" width="39.75" style="28" customWidth="1"/>
    <col min="1539" max="1540" width="12.75" style="28" customWidth="1"/>
    <col min="1541" max="1541" width="7.875" style="28" customWidth="1"/>
    <col min="1542" max="1792" width="9" style="28"/>
    <col min="1793" max="1793" width="5.125" style="28" customWidth="1"/>
    <col min="1794" max="1794" width="39.75" style="28" customWidth="1"/>
    <col min="1795" max="1796" width="12.75" style="28" customWidth="1"/>
    <col min="1797" max="1797" width="7.875" style="28" customWidth="1"/>
    <col min="1798" max="2048" width="9" style="28"/>
    <col min="2049" max="2049" width="5.125" style="28" customWidth="1"/>
    <col min="2050" max="2050" width="39.75" style="28" customWidth="1"/>
    <col min="2051" max="2052" width="12.75" style="28" customWidth="1"/>
    <col min="2053" max="2053" width="7.875" style="28" customWidth="1"/>
    <col min="2054" max="2304" width="9" style="28"/>
    <col min="2305" max="2305" width="5.125" style="28" customWidth="1"/>
    <col min="2306" max="2306" width="39.75" style="28" customWidth="1"/>
    <col min="2307" max="2308" width="12.75" style="28" customWidth="1"/>
    <col min="2309" max="2309" width="7.875" style="28" customWidth="1"/>
    <col min="2310" max="2560" width="9" style="28"/>
    <col min="2561" max="2561" width="5.125" style="28" customWidth="1"/>
    <col min="2562" max="2562" width="39.75" style="28" customWidth="1"/>
    <col min="2563" max="2564" width="12.75" style="28" customWidth="1"/>
    <col min="2565" max="2565" width="7.875" style="28" customWidth="1"/>
    <col min="2566" max="2816" width="9" style="28"/>
    <col min="2817" max="2817" width="5.125" style="28" customWidth="1"/>
    <col min="2818" max="2818" width="39.75" style="28" customWidth="1"/>
    <col min="2819" max="2820" width="12.75" style="28" customWidth="1"/>
    <col min="2821" max="2821" width="7.875" style="28" customWidth="1"/>
    <col min="2822" max="3072" width="9" style="28"/>
    <col min="3073" max="3073" width="5.125" style="28" customWidth="1"/>
    <col min="3074" max="3074" width="39.75" style="28" customWidth="1"/>
    <col min="3075" max="3076" width="12.75" style="28" customWidth="1"/>
    <col min="3077" max="3077" width="7.875" style="28" customWidth="1"/>
    <col min="3078" max="3328" width="9" style="28"/>
    <col min="3329" max="3329" width="5.125" style="28" customWidth="1"/>
    <col min="3330" max="3330" width="39.75" style="28" customWidth="1"/>
    <col min="3331" max="3332" width="12.75" style="28" customWidth="1"/>
    <col min="3333" max="3333" width="7.875" style="28" customWidth="1"/>
    <col min="3334" max="3584" width="9" style="28"/>
    <col min="3585" max="3585" width="5.125" style="28" customWidth="1"/>
    <col min="3586" max="3586" width="39.75" style="28" customWidth="1"/>
    <col min="3587" max="3588" width="12.75" style="28" customWidth="1"/>
    <col min="3589" max="3589" width="7.875" style="28" customWidth="1"/>
    <col min="3590" max="3840" width="9" style="28"/>
    <col min="3841" max="3841" width="5.125" style="28" customWidth="1"/>
    <col min="3842" max="3842" width="39.75" style="28" customWidth="1"/>
    <col min="3843" max="3844" width="12.75" style="28" customWidth="1"/>
    <col min="3845" max="3845" width="7.875" style="28" customWidth="1"/>
    <col min="3846" max="4096" width="9" style="28"/>
    <col min="4097" max="4097" width="5.125" style="28" customWidth="1"/>
    <col min="4098" max="4098" width="39.75" style="28" customWidth="1"/>
    <col min="4099" max="4100" width="12.75" style="28" customWidth="1"/>
    <col min="4101" max="4101" width="7.875" style="28" customWidth="1"/>
    <col min="4102" max="4352" width="9" style="28"/>
    <col min="4353" max="4353" width="5.125" style="28" customWidth="1"/>
    <col min="4354" max="4354" width="39.75" style="28" customWidth="1"/>
    <col min="4355" max="4356" width="12.75" style="28" customWidth="1"/>
    <col min="4357" max="4357" width="7.875" style="28" customWidth="1"/>
    <col min="4358" max="4608" width="9" style="28"/>
    <col min="4609" max="4609" width="5.125" style="28" customWidth="1"/>
    <col min="4610" max="4610" width="39.75" style="28" customWidth="1"/>
    <col min="4611" max="4612" width="12.75" style="28" customWidth="1"/>
    <col min="4613" max="4613" width="7.875" style="28" customWidth="1"/>
    <col min="4614" max="4864" width="9" style="28"/>
    <col min="4865" max="4865" width="5.125" style="28" customWidth="1"/>
    <col min="4866" max="4866" width="39.75" style="28" customWidth="1"/>
    <col min="4867" max="4868" width="12.75" style="28" customWidth="1"/>
    <col min="4869" max="4869" width="7.875" style="28" customWidth="1"/>
    <col min="4870" max="5120" width="9" style="28"/>
    <col min="5121" max="5121" width="5.125" style="28" customWidth="1"/>
    <col min="5122" max="5122" width="39.75" style="28" customWidth="1"/>
    <col min="5123" max="5124" width="12.75" style="28" customWidth="1"/>
    <col min="5125" max="5125" width="7.875" style="28" customWidth="1"/>
    <col min="5126" max="5376" width="9" style="28"/>
    <col min="5377" max="5377" width="5.125" style="28" customWidth="1"/>
    <col min="5378" max="5378" width="39.75" style="28" customWidth="1"/>
    <col min="5379" max="5380" width="12.75" style="28" customWidth="1"/>
    <col min="5381" max="5381" width="7.875" style="28" customWidth="1"/>
    <col min="5382" max="5632" width="9" style="28"/>
    <col min="5633" max="5633" width="5.125" style="28" customWidth="1"/>
    <col min="5634" max="5634" width="39.75" style="28" customWidth="1"/>
    <col min="5635" max="5636" width="12.75" style="28" customWidth="1"/>
    <col min="5637" max="5637" width="7.875" style="28" customWidth="1"/>
    <col min="5638" max="5888" width="9" style="28"/>
    <col min="5889" max="5889" width="5.125" style="28" customWidth="1"/>
    <col min="5890" max="5890" width="39.75" style="28" customWidth="1"/>
    <col min="5891" max="5892" width="12.75" style="28" customWidth="1"/>
    <col min="5893" max="5893" width="7.875" style="28" customWidth="1"/>
    <col min="5894" max="6144" width="9" style="28"/>
    <col min="6145" max="6145" width="5.125" style="28" customWidth="1"/>
    <col min="6146" max="6146" width="39.75" style="28" customWidth="1"/>
    <col min="6147" max="6148" width="12.75" style="28" customWidth="1"/>
    <col min="6149" max="6149" width="7.875" style="28" customWidth="1"/>
    <col min="6150" max="6400" width="9" style="28"/>
    <col min="6401" max="6401" width="5.125" style="28" customWidth="1"/>
    <col min="6402" max="6402" width="39.75" style="28" customWidth="1"/>
    <col min="6403" max="6404" width="12.75" style="28" customWidth="1"/>
    <col min="6405" max="6405" width="7.875" style="28" customWidth="1"/>
    <col min="6406" max="6656" width="9" style="28"/>
    <col min="6657" max="6657" width="5.125" style="28" customWidth="1"/>
    <col min="6658" max="6658" width="39.75" style="28" customWidth="1"/>
    <col min="6659" max="6660" width="12.75" style="28" customWidth="1"/>
    <col min="6661" max="6661" width="7.875" style="28" customWidth="1"/>
    <col min="6662" max="6912" width="9" style="28"/>
    <col min="6913" max="6913" width="5.125" style="28" customWidth="1"/>
    <col min="6914" max="6914" width="39.75" style="28" customWidth="1"/>
    <col min="6915" max="6916" width="12.75" style="28" customWidth="1"/>
    <col min="6917" max="6917" width="7.875" style="28" customWidth="1"/>
    <col min="6918" max="7168" width="9" style="28"/>
    <col min="7169" max="7169" width="5.125" style="28" customWidth="1"/>
    <col min="7170" max="7170" width="39.75" style="28" customWidth="1"/>
    <col min="7171" max="7172" width="12.75" style="28" customWidth="1"/>
    <col min="7173" max="7173" width="7.875" style="28" customWidth="1"/>
    <col min="7174" max="7424" width="9" style="28"/>
    <col min="7425" max="7425" width="5.125" style="28" customWidth="1"/>
    <col min="7426" max="7426" width="39.75" style="28" customWidth="1"/>
    <col min="7427" max="7428" width="12.75" style="28" customWidth="1"/>
    <col min="7429" max="7429" width="7.875" style="28" customWidth="1"/>
    <col min="7430" max="7680" width="9" style="28"/>
    <col min="7681" max="7681" width="5.125" style="28" customWidth="1"/>
    <col min="7682" max="7682" width="39.75" style="28" customWidth="1"/>
    <col min="7683" max="7684" width="12.75" style="28" customWidth="1"/>
    <col min="7685" max="7685" width="7.875" style="28" customWidth="1"/>
    <col min="7686" max="7936" width="9" style="28"/>
    <col min="7937" max="7937" width="5.125" style="28" customWidth="1"/>
    <col min="7938" max="7938" width="39.75" style="28" customWidth="1"/>
    <col min="7939" max="7940" width="12.75" style="28" customWidth="1"/>
    <col min="7941" max="7941" width="7.875" style="28" customWidth="1"/>
    <col min="7942" max="8192" width="9" style="28"/>
    <col min="8193" max="8193" width="5.125" style="28" customWidth="1"/>
    <col min="8194" max="8194" width="39.75" style="28" customWidth="1"/>
    <col min="8195" max="8196" width="12.75" style="28" customWidth="1"/>
    <col min="8197" max="8197" width="7.875" style="28" customWidth="1"/>
    <col min="8198" max="8448" width="9" style="28"/>
    <col min="8449" max="8449" width="5.125" style="28" customWidth="1"/>
    <col min="8450" max="8450" width="39.75" style="28" customWidth="1"/>
    <col min="8451" max="8452" width="12.75" style="28" customWidth="1"/>
    <col min="8453" max="8453" width="7.875" style="28" customWidth="1"/>
    <col min="8454" max="8704" width="9" style="28"/>
    <col min="8705" max="8705" width="5.125" style="28" customWidth="1"/>
    <col min="8706" max="8706" width="39.75" style="28" customWidth="1"/>
    <col min="8707" max="8708" width="12.75" style="28" customWidth="1"/>
    <col min="8709" max="8709" width="7.875" style="28" customWidth="1"/>
    <col min="8710" max="8960" width="9" style="28"/>
    <col min="8961" max="8961" width="5.125" style="28" customWidth="1"/>
    <col min="8962" max="8962" width="39.75" style="28" customWidth="1"/>
    <col min="8963" max="8964" width="12.75" style="28" customWidth="1"/>
    <col min="8965" max="8965" width="7.875" style="28" customWidth="1"/>
    <col min="8966" max="9216" width="9" style="28"/>
    <col min="9217" max="9217" width="5.125" style="28" customWidth="1"/>
    <col min="9218" max="9218" width="39.75" style="28" customWidth="1"/>
    <col min="9219" max="9220" width="12.75" style="28" customWidth="1"/>
    <col min="9221" max="9221" width="7.875" style="28" customWidth="1"/>
    <col min="9222" max="9472" width="9" style="28"/>
    <col min="9473" max="9473" width="5.125" style="28" customWidth="1"/>
    <col min="9474" max="9474" width="39.75" style="28" customWidth="1"/>
    <col min="9475" max="9476" width="12.75" style="28" customWidth="1"/>
    <col min="9477" max="9477" width="7.875" style="28" customWidth="1"/>
    <col min="9478" max="9728" width="9" style="28"/>
    <col min="9729" max="9729" width="5.125" style="28" customWidth="1"/>
    <col min="9730" max="9730" width="39.75" style="28" customWidth="1"/>
    <col min="9731" max="9732" width="12.75" style="28" customWidth="1"/>
    <col min="9733" max="9733" width="7.875" style="28" customWidth="1"/>
    <col min="9734" max="9984" width="9" style="28"/>
    <col min="9985" max="9985" width="5.125" style="28" customWidth="1"/>
    <col min="9986" max="9986" width="39.75" style="28" customWidth="1"/>
    <col min="9987" max="9988" width="12.75" style="28" customWidth="1"/>
    <col min="9989" max="9989" width="7.875" style="28" customWidth="1"/>
    <col min="9990" max="10240" width="9" style="28"/>
    <col min="10241" max="10241" width="5.125" style="28" customWidth="1"/>
    <col min="10242" max="10242" width="39.75" style="28" customWidth="1"/>
    <col min="10243" max="10244" width="12.75" style="28" customWidth="1"/>
    <col min="10245" max="10245" width="7.875" style="28" customWidth="1"/>
    <col min="10246" max="10496" width="9" style="28"/>
    <col min="10497" max="10497" width="5.125" style="28" customWidth="1"/>
    <col min="10498" max="10498" width="39.75" style="28" customWidth="1"/>
    <col min="10499" max="10500" width="12.75" style="28" customWidth="1"/>
    <col min="10501" max="10501" width="7.875" style="28" customWidth="1"/>
    <col min="10502" max="10752" width="9" style="28"/>
    <col min="10753" max="10753" width="5.125" style="28" customWidth="1"/>
    <col min="10754" max="10754" width="39.75" style="28" customWidth="1"/>
    <col min="10755" max="10756" width="12.75" style="28" customWidth="1"/>
    <col min="10757" max="10757" width="7.875" style="28" customWidth="1"/>
    <col min="10758" max="11008" width="9" style="28"/>
    <col min="11009" max="11009" width="5.125" style="28" customWidth="1"/>
    <col min="11010" max="11010" width="39.75" style="28" customWidth="1"/>
    <col min="11011" max="11012" width="12.75" style="28" customWidth="1"/>
    <col min="11013" max="11013" width="7.875" style="28" customWidth="1"/>
    <col min="11014" max="11264" width="9" style="28"/>
    <col min="11265" max="11265" width="5.125" style="28" customWidth="1"/>
    <col min="11266" max="11266" width="39.75" style="28" customWidth="1"/>
    <col min="11267" max="11268" width="12.75" style="28" customWidth="1"/>
    <col min="11269" max="11269" width="7.875" style="28" customWidth="1"/>
    <col min="11270" max="11520" width="9" style="28"/>
    <col min="11521" max="11521" width="5.125" style="28" customWidth="1"/>
    <col min="11522" max="11522" width="39.75" style="28" customWidth="1"/>
    <col min="11523" max="11524" width="12.75" style="28" customWidth="1"/>
    <col min="11525" max="11525" width="7.875" style="28" customWidth="1"/>
    <col min="11526" max="11776" width="9" style="28"/>
    <col min="11777" max="11777" width="5.125" style="28" customWidth="1"/>
    <col min="11778" max="11778" width="39.75" style="28" customWidth="1"/>
    <col min="11779" max="11780" width="12.75" style="28" customWidth="1"/>
    <col min="11781" max="11781" width="7.875" style="28" customWidth="1"/>
    <col min="11782" max="12032" width="9" style="28"/>
    <col min="12033" max="12033" width="5.125" style="28" customWidth="1"/>
    <col min="12034" max="12034" width="39.75" style="28" customWidth="1"/>
    <col min="12035" max="12036" width="12.75" style="28" customWidth="1"/>
    <col min="12037" max="12037" width="7.875" style="28" customWidth="1"/>
    <col min="12038" max="12288" width="9" style="28"/>
    <col min="12289" max="12289" width="5.125" style="28" customWidth="1"/>
    <col min="12290" max="12290" width="39.75" style="28" customWidth="1"/>
    <col min="12291" max="12292" width="12.75" style="28" customWidth="1"/>
    <col min="12293" max="12293" width="7.875" style="28" customWidth="1"/>
    <col min="12294" max="12544" width="9" style="28"/>
    <col min="12545" max="12545" width="5.125" style="28" customWidth="1"/>
    <col min="12546" max="12546" width="39.75" style="28" customWidth="1"/>
    <col min="12547" max="12548" width="12.75" style="28" customWidth="1"/>
    <col min="12549" max="12549" width="7.875" style="28" customWidth="1"/>
    <col min="12550" max="12800" width="9" style="28"/>
    <col min="12801" max="12801" width="5.125" style="28" customWidth="1"/>
    <col min="12802" max="12802" width="39.75" style="28" customWidth="1"/>
    <col min="12803" max="12804" width="12.75" style="28" customWidth="1"/>
    <col min="12805" max="12805" width="7.875" style="28" customWidth="1"/>
    <col min="12806" max="13056" width="9" style="28"/>
    <col min="13057" max="13057" width="5.125" style="28" customWidth="1"/>
    <col min="13058" max="13058" width="39.75" style="28" customWidth="1"/>
    <col min="13059" max="13060" width="12.75" style="28" customWidth="1"/>
    <col min="13061" max="13061" width="7.875" style="28" customWidth="1"/>
    <col min="13062" max="13312" width="9" style="28"/>
    <col min="13313" max="13313" width="5.125" style="28" customWidth="1"/>
    <col min="13314" max="13314" width="39.75" style="28" customWidth="1"/>
    <col min="13315" max="13316" width="12.75" style="28" customWidth="1"/>
    <col min="13317" max="13317" width="7.875" style="28" customWidth="1"/>
    <col min="13318" max="13568" width="9" style="28"/>
    <col min="13569" max="13569" width="5.125" style="28" customWidth="1"/>
    <col min="13570" max="13570" width="39.75" style="28" customWidth="1"/>
    <col min="13571" max="13572" width="12.75" style="28" customWidth="1"/>
    <col min="13573" max="13573" width="7.875" style="28" customWidth="1"/>
    <col min="13574" max="13824" width="9" style="28"/>
    <col min="13825" max="13825" width="5.125" style="28" customWidth="1"/>
    <col min="13826" max="13826" width="39.75" style="28" customWidth="1"/>
    <col min="13827" max="13828" width="12.75" style="28" customWidth="1"/>
    <col min="13829" max="13829" width="7.875" style="28" customWidth="1"/>
    <col min="13830" max="14080" width="9" style="28"/>
    <col min="14081" max="14081" width="5.125" style="28" customWidth="1"/>
    <col min="14082" max="14082" width="39.75" style="28" customWidth="1"/>
    <col min="14083" max="14084" width="12.75" style="28" customWidth="1"/>
    <col min="14085" max="14085" width="7.875" style="28" customWidth="1"/>
    <col min="14086" max="14336" width="9" style="28"/>
    <col min="14337" max="14337" width="5.125" style="28" customWidth="1"/>
    <col min="14338" max="14338" width="39.75" style="28" customWidth="1"/>
    <col min="14339" max="14340" width="12.75" style="28" customWidth="1"/>
    <col min="14341" max="14341" width="7.875" style="28" customWidth="1"/>
    <col min="14342" max="14592" width="9" style="28"/>
    <col min="14593" max="14593" width="5.125" style="28" customWidth="1"/>
    <col min="14594" max="14594" width="39.75" style="28" customWidth="1"/>
    <col min="14595" max="14596" width="12.75" style="28" customWidth="1"/>
    <col min="14597" max="14597" width="7.875" style="28" customWidth="1"/>
    <col min="14598" max="14848" width="9" style="28"/>
    <col min="14849" max="14849" width="5.125" style="28" customWidth="1"/>
    <col min="14850" max="14850" width="39.75" style="28" customWidth="1"/>
    <col min="14851" max="14852" width="12.75" style="28" customWidth="1"/>
    <col min="14853" max="14853" width="7.875" style="28" customWidth="1"/>
    <col min="14854" max="15104" width="9" style="28"/>
    <col min="15105" max="15105" width="5.125" style="28" customWidth="1"/>
    <col min="15106" max="15106" width="39.75" style="28" customWidth="1"/>
    <col min="15107" max="15108" width="12.75" style="28" customWidth="1"/>
    <col min="15109" max="15109" width="7.875" style="28" customWidth="1"/>
    <col min="15110" max="15360" width="9" style="28"/>
    <col min="15361" max="15361" width="5.125" style="28" customWidth="1"/>
    <col min="15362" max="15362" width="39.75" style="28" customWidth="1"/>
    <col min="15363" max="15364" width="12.75" style="28" customWidth="1"/>
    <col min="15365" max="15365" width="7.875" style="28" customWidth="1"/>
    <col min="15366" max="15616" width="9" style="28"/>
    <col min="15617" max="15617" width="5.125" style="28" customWidth="1"/>
    <col min="15618" max="15618" width="39.75" style="28" customWidth="1"/>
    <col min="15619" max="15620" width="12.75" style="28" customWidth="1"/>
    <col min="15621" max="15621" width="7.875" style="28" customWidth="1"/>
    <col min="15622" max="15872" width="9" style="28"/>
    <col min="15873" max="15873" width="5.125" style="28" customWidth="1"/>
    <col min="15874" max="15874" width="39.75" style="28" customWidth="1"/>
    <col min="15875" max="15876" width="12.75" style="28" customWidth="1"/>
    <col min="15877" max="15877" width="7.875" style="28" customWidth="1"/>
    <col min="15878" max="16128" width="9" style="28"/>
    <col min="16129" max="16129" width="5.125" style="28" customWidth="1"/>
    <col min="16130" max="16130" width="39.75" style="28" customWidth="1"/>
    <col min="16131" max="16132" width="12.75" style="28" customWidth="1"/>
    <col min="16133" max="16133" width="7.875" style="28" customWidth="1"/>
    <col min="16134" max="16384" width="9" style="28"/>
  </cols>
  <sheetData>
    <row r="1" spans="1:5" ht="76.5" customHeight="1">
      <c r="A1" s="27"/>
      <c r="B1" s="177" t="s">
        <v>16</v>
      </c>
      <c r="C1" s="177"/>
      <c r="D1" s="177"/>
    </row>
    <row r="2" spans="1:5" ht="63" customHeight="1" thickBot="1">
      <c r="A2" s="178" t="s">
        <v>17</v>
      </c>
      <c r="B2" s="178"/>
      <c r="C2" s="178"/>
      <c r="D2" s="178"/>
    </row>
    <row r="3" spans="1:5" ht="22.5" customHeight="1" thickBot="1">
      <c r="A3" s="29" t="s">
        <v>18</v>
      </c>
      <c r="B3" s="30" t="s">
        <v>19</v>
      </c>
      <c r="C3" s="29" t="s">
        <v>20</v>
      </c>
      <c r="D3" s="31" t="s">
        <v>21</v>
      </c>
    </row>
    <row r="4" spans="1:5" ht="15" customHeight="1" thickBot="1">
      <c r="A4" s="173" t="s">
        <v>22</v>
      </c>
      <c r="B4" s="174"/>
      <c r="C4" s="32">
        <f>SUM(C5:C6)</f>
        <v>9020</v>
      </c>
      <c r="D4" s="33">
        <f>SUM(D5:D6)</f>
        <v>9020</v>
      </c>
    </row>
    <row r="5" spans="1:5" ht="26.25" customHeight="1">
      <c r="A5" s="34">
        <v>1</v>
      </c>
      <c r="B5" s="35" t="s">
        <v>23</v>
      </c>
      <c r="C5" s="36">
        <f>20+6000</f>
        <v>6020</v>
      </c>
      <c r="D5" s="37">
        <f>20+6000</f>
        <v>6020</v>
      </c>
      <c r="E5" s="38"/>
    </row>
    <row r="6" spans="1:5" ht="15" customHeight="1" thickBot="1">
      <c r="A6" s="39">
        <v>2</v>
      </c>
      <c r="B6" s="40" t="s">
        <v>24</v>
      </c>
      <c r="C6" s="41">
        <v>3000</v>
      </c>
      <c r="D6" s="42">
        <v>3000</v>
      </c>
      <c r="E6" s="38"/>
    </row>
    <row r="7" spans="1:5" ht="15" customHeight="1" thickBot="1">
      <c r="A7" s="173" t="s">
        <v>25</v>
      </c>
      <c r="B7" s="174"/>
      <c r="C7" s="43">
        <f>SUM(C8:C14)</f>
        <v>427851</v>
      </c>
      <c r="D7" s="44">
        <f>SUM(D8:D14)</f>
        <v>427851</v>
      </c>
      <c r="E7" s="38"/>
    </row>
    <row r="8" spans="1:5" ht="27" customHeight="1">
      <c r="A8" s="45">
        <v>1</v>
      </c>
      <c r="B8" s="46" t="s">
        <v>26</v>
      </c>
      <c r="C8" s="47">
        <f>64000+50000</f>
        <v>114000</v>
      </c>
      <c r="D8" s="48">
        <f>64000+50000</f>
        <v>114000</v>
      </c>
      <c r="E8" s="38"/>
    </row>
    <row r="9" spans="1:5" ht="27" customHeight="1">
      <c r="A9" s="49">
        <v>2</v>
      </c>
      <c r="B9" s="50" t="s">
        <v>27</v>
      </c>
      <c r="C9" s="51">
        <f>22034+4104+5220</f>
        <v>31358</v>
      </c>
      <c r="D9" s="52">
        <f>22034+4104+5220</f>
        <v>31358</v>
      </c>
      <c r="E9" s="38"/>
    </row>
    <row r="10" spans="1:5" ht="27" customHeight="1">
      <c r="A10" s="49">
        <v>3</v>
      </c>
      <c r="B10" s="50" t="s">
        <v>28</v>
      </c>
      <c r="C10" s="51">
        <f>1000+1000</f>
        <v>2000</v>
      </c>
      <c r="D10" s="52">
        <f>1000+1000</f>
        <v>2000</v>
      </c>
      <c r="E10" s="38"/>
    </row>
    <row r="11" spans="1:5" ht="27" customHeight="1">
      <c r="A11" s="49">
        <v>4</v>
      </c>
      <c r="B11" s="50" t="s">
        <v>29</v>
      </c>
      <c r="C11" s="51">
        <f>7300+6000</f>
        <v>13300</v>
      </c>
      <c r="D11" s="52">
        <f>7300+6000</f>
        <v>13300</v>
      </c>
      <c r="E11" s="38"/>
    </row>
    <row r="12" spans="1:5" ht="27" customHeight="1">
      <c r="A12" s="49">
        <v>5</v>
      </c>
      <c r="B12" s="50" t="s">
        <v>30</v>
      </c>
      <c r="C12" s="51">
        <f>51900+8800+11700</f>
        <v>72400</v>
      </c>
      <c r="D12" s="52">
        <f>51900+8800+11700</f>
        <v>72400</v>
      </c>
      <c r="E12" s="38"/>
    </row>
    <row r="13" spans="1:5" ht="27" customHeight="1">
      <c r="A13" s="49">
        <v>6</v>
      </c>
      <c r="B13" s="50" t="s">
        <v>31</v>
      </c>
      <c r="C13" s="51">
        <f>3500+1500</f>
        <v>5000</v>
      </c>
      <c r="D13" s="52">
        <f>3500+1500</f>
        <v>5000</v>
      </c>
      <c r="E13" s="38"/>
    </row>
    <row r="14" spans="1:5" s="55" customFormat="1" ht="27.75" customHeight="1" thickBot="1">
      <c r="A14" s="39">
        <v>7</v>
      </c>
      <c r="B14" s="53" t="s">
        <v>32</v>
      </c>
      <c r="C14" s="41">
        <f>171843+5000+12950</f>
        <v>189793</v>
      </c>
      <c r="D14" s="42">
        <f>171843+5000+12950</f>
        <v>189793</v>
      </c>
      <c r="E14" s="54"/>
    </row>
    <row r="15" spans="1:5" ht="15" customHeight="1" thickBot="1">
      <c r="A15" s="173" t="s">
        <v>33</v>
      </c>
      <c r="B15" s="174"/>
      <c r="C15" s="43">
        <f>SUM(C16)</f>
        <v>2300000</v>
      </c>
      <c r="D15" s="44">
        <f>SUM(D16)</f>
        <v>2300000</v>
      </c>
      <c r="E15" s="38"/>
    </row>
    <row r="16" spans="1:5" ht="15" customHeight="1" thickBot="1">
      <c r="A16" s="56">
        <v>1</v>
      </c>
      <c r="B16" s="57" t="s">
        <v>34</v>
      </c>
      <c r="C16" s="36">
        <v>2300000</v>
      </c>
      <c r="D16" s="37">
        <v>2300000</v>
      </c>
      <c r="E16" s="54"/>
    </row>
    <row r="17" spans="1:5" ht="15" customHeight="1" thickBot="1">
      <c r="A17" s="173" t="s">
        <v>35</v>
      </c>
      <c r="B17" s="174"/>
      <c r="C17" s="43">
        <f>SUM(C18:C21)</f>
        <v>345810</v>
      </c>
      <c r="D17" s="44">
        <f>SUM(D18:D21)</f>
        <v>345810</v>
      </c>
      <c r="E17" s="38"/>
    </row>
    <row r="18" spans="1:5" ht="15" customHeight="1">
      <c r="A18" s="45">
        <v>1</v>
      </c>
      <c r="B18" s="58" t="s">
        <v>36</v>
      </c>
      <c r="C18" s="47">
        <v>71000</v>
      </c>
      <c r="D18" s="48">
        <v>71000</v>
      </c>
      <c r="E18" s="38"/>
    </row>
    <row r="19" spans="1:5" s="55" customFormat="1" ht="15" customHeight="1">
      <c r="A19" s="49">
        <v>2</v>
      </c>
      <c r="B19" s="59" t="s">
        <v>37</v>
      </c>
      <c r="C19" s="51">
        <f>30300+1000+1000</f>
        <v>32300</v>
      </c>
      <c r="D19" s="52">
        <f>30300+1000+1000</f>
        <v>32300</v>
      </c>
      <c r="E19" s="60"/>
    </row>
    <row r="20" spans="1:5" ht="15" customHeight="1">
      <c r="A20" s="49">
        <v>3</v>
      </c>
      <c r="B20" s="59" t="s">
        <v>38</v>
      </c>
      <c r="C20" s="51">
        <f>170000+30000+6400</f>
        <v>206400</v>
      </c>
      <c r="D20" s="52">
        <f>170000+30000+6400</f>
        <v>206400</v>
      </c>
      <c r="E20" s="38"/>
    </row>
    <row r="21" spans="1:5" ht="15" customHeight="1" thickBot="1">
      <c r="A21" s="39">
        <v>4</v>
      </c>
      <c r="B21" s="61" t="s">
        <v>39</v>
      </c>
      <c r="C21" s="41">
        <f>34100+2010</f>
        <v>36110</v>
      </c>
      <c r="D21" s="42">
        <f>34100+2010</f>
        <v>36110</v>
      </c>
      <c r="E21" s="38"/>
    </row>
    <row r="22" spans="1:5" ht="15" customHeight="1" thickBot="1">
      <c r="A22" s="173" t="s">
        <v>40</v>
      </c>
      <c r="B22" s="174"/>
      <c r="C22" s="43">
        <f>SUM(C23:C23)</f>
        <v>230200</v>
      </c>
      <c r="D22" s="44">
        <f>SUM(D23:D23)</f>
        <v>230200</v>
      </c>
      <c r="E22" s="38"/>
    </row>
    <row r="23" spans="1:5" ht="29.25" customHeight="1" thickBot="1">
      <c r="A23" s="62">
        <v>1</v>
      </c>
      <c r="B23" s="63" t="s">
        <v>41</v>
      </c>
      <c r="C23" s="36">
        <f>208000+22200</f>
        <v>230200</v>
      </c>
      <c r="D23" s="37">
        <f>208000+22200</f>
        <v>230200</v>
      </c>
      <c r="E23" s="38"/>
    </row>
    <row r="24" spans="1:5" ht="24" customHeight="1" thickBot="1">
      <c r="A24" s="175" t="s">
        <v>42</v>
      </c>
      <c r="B24" s="176"/>
      <c r="C24" s="64">
        <f>SUM(C4,C7,C15,C17,C22)</f>
        <v>3312881</v>
      </c>
      <c r="D24" s="64">
        <f>SUM(D4,D7,D15,D17,D22)</f>
        <v>3312881</v>
      </c>
      <c r="E24" s="38"/>
    </row>
    <row r="25" spans="1:5" ht="12.75" customHeight="1">
      <c r="A25" s="65"/>
      <c r="B25" s="65"/>
      <c r="C25" s="66"/>
      <c r="D25" s="66"/>
    </row>
    <row r="27" spans="1:5">
      <c r="A27" s="67"/>
      <c r="B27" s="68"/>
      <c r="C27" s="69"/>
      <c r="D27" s="69"/>
    </row>
  </sheetData>
  <mergeCells count="8">
    <mergeCell ref="A22:B22"/>
    <mergeCell ref="A24:B24"/>
    <mergeCell ref="B1:D1"/>
    <mergeCell ref="A2:D2"/>
    <mergeCell ref="A4:B4"/>
    <mergeCell ref="A7:B7"/>
    <mergeCell ref="A15:B15"/>
    <mergeCell ref="A17:B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Załącznik Nr 1 </vt:lpstr>
      <vt:lpstr>Załącznik Nr 2</vt:lpstr>
      <vt:lpstr>Zał nr 3</vt:lpstr>
      <vt:lpstr>Załącznik Nr 3</vt:lpstr>
      <vt:lpstr>'Zał nr 3'!Obszar_wydruku</vt:lpstr>
      <vt:lpstr>'Załącznik Nr 1 '!Obszar_wydruku</vt:lpstr>
      <vt:lpstr>'Załącznik Nr 2'!Obszar_wydruku</vt:lpstr>
      <vt:lpstr>'Załącznik Nr 3'!Obszar_wydruku</vt:lpstr>
      <vt:lpstr>'Załącznik Nr 1 '!Tytuły_wydruku</vt:lpstr>
      <vt:lpstr>'Załącznik Nr 2'!Tytuły_wydruku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m.jachymczyk</dc:creator>
  <cp:lastModifiedBy>Kruk Katarzyna</cp:lastModifiedBy>
  <cp:lastPrinted>2022-08-11T10:22:58Z</cp:lastPrinted>
  <dcterms:created xsi:type="dcterms:W3CDTF">2013-02-21T12:03:23Z</dcterms:created>
  <dcterms:modified xsi:type="dcterms:W3CDTF">2022-08-30T06:27:46Z</dcterms:modified>
</cp:coreProperties>
</file>